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vdheuvel-my.sharepoint.com/personal/bart_woondokter_nl/Documents/Blogs en Nieuws/2024-12 Zonnepanelen zonder salderen (2)_aangepast/"/>
    </mc:Choice>
  </mc:AlternateContent>
  <xr:revisionPtr revIDLastSave="374" documentId="8_{EBEA62AC-E390-4628-80AB-6B81B44AF002}" xr6:coauthVersionLast="47" xr6:coauthVersionMax="47" xr10:uidLastSave="{58B4E784-338F-45B0-96F9-49BF871C31F4}"/>
  <bookViews>
    <workbookView xWindow="-110" yWindow="-110" windowWidth="19420" windowHeight="10300" xr2:uid="{6D14DD39-B64E-403D-877F-1969F61A7643}"/>
  </bookViews>
  <sheets>
    <sheet name="Toelichting" sheetId="4" r:id="rId1"/>
    <sheet name="Invoer" sheetId="2" r:id="rId2"/>
    <sheet name="Resultaat"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2" l="1"/>
  <c r="B15" i="2" s="1"/>
  <c r="B16" i="2" s="1"/>
  <c r="B17" i="2" s="1"/>
  <c r="B18" i="2" s="1"/>
  <c r="B13" i="2"/>
  <c r="E1" i="1"/>
  <c r="E3" i="1" s="1"/>
  <c r="D3" i="1"/>
  <c r="E2" i="1"/>
  <c r="E15" i="1" s="1"/>
  <c r="F2" i="1"/>
  <c r="G2" i="1"/>
  <c r="H2" i="1"/>
  <c r="I2" i="1"/>
  <c r="J2" i="1"/>
  <c r="K2" i="1"/>
  <c r="L2" i="1"/>
  <c r="M2" i="1"/>
  <c r="N2" i="1"/>
  <c r="O2" i="1"/>
  <c r="P2" i="1"/>
  <c r="Q2" i="1"/>
  <c r="R2" i="1"/>
  <c r="S2" i="1"/>
  <c r="T2" i="1"/>
  <c r="U2" i="1"/>
  <c r="V2" i="1"/>
  <c r="W2" i="1"/>
  <c r="D2" i="1"/>
  <c r="D15" i="1" s="1"/>
  <c r="C6" i="2"/>
  <c r="I7" i="1"/>
  <c r="J7" i="1"/>
  <c r="K7" i="1" s="1"/>
  <c r="L7" i="1" s="1"/>
  <c r="M7" i="1" s="1"/>
  <c r="N7" i="1" s="1"/>
  <c r="O7" i="1" s="1"/>
  <c r="P7" i="1" s="1"/>
  <c r="Q7" i="1" s="1"/>
  <c r="R7" i="1" s="1"/>
  <c r="S7" i="1" s="1"/>
  <c r="T7" i="1" s="1"/>
  <c r="U7" i="1" s="1"/>
  <c r="V7" i="1" s="1"/>
  <c r="W7" i="1" s="1"/>
  <c r="H7" i="1"/>
  <c r="G7" i="1"/>
  <c r="F7" i="1"/>
  <c r="E7" i="1"/>
  <c r="D7" i="1"/>
  <c r="F1" i="1" l="1"/>
  <c r="G1" i="1" s="1"/>
  <c r="H1" i="1" s="1"/>
  <c r="I1" i="1" s="1"/>
  <c r="J1" i="1" s="1"/>
  <c r="K1" i="1" s="1"/>
  <c r="L1" i="1" s="1"/>
  <c r="M1" i="1" s="1"/>
  <c r="N1" i="1" s="1"/>
  <c r="O1" i="1" s="1"/>
  <c r="P1" i="1" s="1"/>
  <c r="Q1" i="1" s="1"/>
  <c r="R1" i="1" s="1"/>
  <c r="S1" i="1" s="1"/>
  <c r="T1" i="1" s="1"/>
  <c r="U1" i="1" s="1"/>
  <c r="V1" i="1" s="1"/>
  <c r="W1" i="1" s="1"/>
  <c r="N15" i="1"/>
  <c r="K15" i="1"/>
  <c r="P15" i="1"/>
  <c r="W15" i="1"/>
  <c r="G15" i="1"/>
  <c r="T15" i="1"/>
  <c r="L15" i="1"/>
  <c r="S15" i="1"/>
  <c r="R15" i="1"/>
  <c r="J15" i="1"/>
  <c r="D4" i="1"/>
  <c r="F3" i="1"/>
  <c r="G3" i="1"/>
  <c r="H3" i="1"/>
  <c r="I3" i="1"/>
  <c r="J3" i="1"/>
  <c r="M3" i="1"/>
  <c r="N3" i="1"/>
  <c r="O3" i="1"/>
  <c r="P3" i="1"/>
  <c r="Q3" i="1"/>
  <c r="R3" i="1"/>
  <c r="U3" i="1"/>
  <c r="V3" i="1"/>
  <c r="W3" i="1"/>
  <c r="M15" i="1" l="1"/>
  <c r="O15" i="1"/>
  <c r="T3" i="1"/>
  <c r="L3" i="1"/>
  <c r="L4" i="1" s="1"/>
  <c r="I15" i="1"/>
  <c r="U15" i="1"/>
  <c r="H15" i="1"/>
  <c r="S3" i="1"/>
  <c r="S4" i="1" s="1"/>
  <c r="K3" i="1"/>
  <c r="Q15" i="1"/>
  <c r="V15" i="1"/>
  <c r="F15" i="1"/>
  <c r="U4" i="1"/>
  <c r="M4" i="1"/>
  <c r="E4" i="1"/>
  <c r="E6" i="1" s="1"/>
  <c r="T4" i="1"/>
  <c r="K4" i="1"/>
  <c r="R4" i="1"/>
  <c r="J4" i="1"/>
  <c r="Q4" i="1"/>
  <c r="I4" i="1"/>
  <c r="D5" i="1"/>
  <c r="P4" i="1"/>
  <c r="H4" i="1"/>
  <c r="W4" i="1"/>
  <c r="O4" i="1"/>
  <c r="G4" i="1"/>
  <c r="V4" i="1"/>
  <c r="N4" i="1"/>
  <c r="F4" i="1"/>
  <c r="F6" i="1" s="1"/>
  <c r="H5" i="1" l="1"/>
  <c r="G5" i="1"/>
  <c r="U5" i="1"/>
  <c r="O5" i="1"/>
  <c r="W5" i="1"/>
  <c r="F5" i="1"/>
  <c r="N5" i="1"/>
  <c r="E5" i="1"/>
  <c r="V5" i="1"/>
  <c r="M5" i="1"/>
  <c r="M6" i="1"/>
  <c r="U6" i="1"/>
  <c r="G6" i="1"/>
  <c r="W6" i="1"/>
  <c r="L6" i="1"/>
  <c r="L5" i="1"/>
  <c r="I6" i="1"/>
  <c r="I5" i="1"/>
  <c r="O6" i="1"/>
  <c r="K6" i="1"/>
  <c r="K5" i="1"/>
  <c r="S6" i="1"/>
  <c r="S5" i="1"/>
  <c r="H6" i="1"/>
  <c r="T6" i="1"/>
  <c r="T5" i="1"/>
  <c r="Q6" i="1"/>
  <c r="Q5" i="1"/>
  <c r="R6" i="1"/>
  <c r="R5" i="1"/>
  <c r="P6" i="1"/>
  <c r="P5" i="1"/>
  <c r="V6" i="1"/>
  <c r="J6" i="1"/>
  <c r="J5" i="1"/>
  <c r="D6" i="1"/>
  <c r="N6" i="1"/>
  <c r="N8" i="1" l="1"/>
  <c r="D8" i="1"/>
  <c r="D10" i="1" s="1"/>
  <c r="O8" i="1"/>
  <c r="M8" i="1"/>
  <c r="V8" i="1"/>
  <c r="T8" i="1"/>
  <c r="L8" i="1"/>
  <c r="S8" i="1"/>
  <c r="G8" i="1"/>
  <c r="K8" i="1"/>
  <c r="J8" i="1"/>
  <c r="I8" i="1"/>
  <c r="H8" i="1"/>
  <c r="P8" i="1"/>
  <c r="W8" i="1"/>
  <c r="F8" i="1"/>
  <c r="R8" i="1"/>
  <c r="E8" i="1"/>
  <c r="Q8" i="1"/>
  <c r="U8" i="1"/>
  <c r="F9" i="1" l="1"/>
  <c r="F11" i="1" s="1"/>
  <c r="F12" i="1"/>
  <c r="S9" i="1"/>
  <c r="S11" i="1" s="1"/>
  <c r="S12" i="1"/>
  <c r="W9" i="1"/>
  <c r="W11" i="1" s="1"/>
  <c r="W12" i="1"/>
  <c r="L9" i="1"/>
  <c r="L11" i="1" s="1"/>
  <c r="L12" i="1"/>
  <c r="P10" i="1"/>
  <c r="P13" i="1" s="1"/>
  <c r="P12" i="1"/>
  <c r="H10" i="1"/>
  <c r="H13" i="1" s="1"/>
  <c r="H12" i="1"/>
  <c r="U10" i="1"/>
  <c r="U12" i="1"/>
  <c r="I9" i="1"/>
  <c r="I11" i="1" s="1"/>
  <c r="I12" i="1"/>
  <c r="M10" i="1"/>
  <c r="M13" i="1" s="1"/>
  <c r="M12" i="1"/>
  <c r="K10" i="1"/>
  <c r="K13" i="1" s="1"/>
  <c r="K12" i="1"/>
  <c r="T10" i="1"/>
  <c r="T13" i="1" s="1"/>
  <c r="T12" i="1"/>
  <c r="V9" i="1"/>
  <c r="V11" i="1" s="1"/>
  <c r="V12" i="1"/>
  <c r="Q9" i="1"/>
  <c r="Q11" i="1" s="1"/>
  <c r="Q12" i="1"/>
  <c r="J10" i="1"/>
  <c r="J13" i="1" s="1"/>
  <c r="J12" i="1"/>
  <c r="O9" i="1"/>
  <c r="O11" i="1" s="1"/>
  <c r="O12" i="1"/>
  <c r="D13" i="1"/>
  <c r="D12" i="1"/>
  <c r="E10" i="1"/>
  <c r="E13" i="1" s="1"/>
  <c r="E12" i="1"/>
  <c r="R10" i="1"/>
  <c r="R13" i="1" s="1"/>
  <c r="R12" i="1"/>
  <c r="G9" i="1"/>
  <c r="G11" i="1" s="1"/>
  <c r="G12" i="1"/>
  <c r="N9" i="1"/>
  <c r="N11" i="1" s="1"/>
  <c r="N12" i="1"/>
  <c r="M9" i="1"/>
  <c r="M11" i="1" s="1"/>
  <c r="S10" i="1"/>
  <c r="Q10" i="1"/>
  <c r="P9" i="1"/>
  <c r="P11" i="1" s="1"/>
  <c r="N10" i="1"/>
  <c r="L10" i="1"/>
  <c r="W10" i="1"/>
  <c r="J9" i="1"/>
  <c r="J11" i="1" s="1"/>
  <c r="T9" i="1"/>
  <c r="T11" i="1" s="1"/>
  <c r="G10" i="1"/>
  <c r="V10" i="1"/>
  <c r="O10" i="1"/>
  <c r="E9" i="1"/>
  <c r="E11" i="1" s="1"/>
  <c r="U9" i="1"/>
  <c r="U11" i="1" s="1"/>
  <c r="D9" i="1"/>
  <c r="D11" i="1" s="1"/>
  <c r="K9" i="1"/>
  <c r="K11" i="1" s="1"/>
  <c r="H9" i="1"/>
  <c r="H11" i="1" s="1"/>
  <c r="R9" i="1"/>
  <c r="R11" i="1" s="1"/>
  <c r="F10" i="1"/>
  <c r="F13" i="1" s="1"/>
  <c r="I10" i="1"/>
  <c r="U13" i="1"/>
  <c r="T14" i="1" l="1"/>
  <c r="T16" i="1" s="1"/>
  <c r="T17" i="1" s="1"/>
  <c r="T18" i="1" s="1"/>
  <c r="D14" i="1"/>
  <c r="D16" i="1" s="1"/>
  <c r="D17" i="1" s="1"/>
  <c r="R14" i="1"/>
  <c r="R16" i="1" s="1"/>
  <c r="R17" i="1" s="1"/>
  <c r="R18" i="1" s="1"/>
  <c r="J14" i="1"/>
  <c r="J16" i="1" s="1"/>
  <c r="J17" i="1" s="1"/>
  <c r="J18" i="1" s="1"/>
  <c r="U14" i="1"/>
  <c r="U16" i="1" s="1"/>
  <c r="U17" i="1" s="1"/>
  <c r="K14" i="1"/>
  <c r="K16" i="1" s="1"/>
  <c r="K17" i="1" s="1"/>
  <c r="H14" i="1"/>
  <c r="H16" i="1" s="1"/>
  <c r="H17" i="1" s="1"/>
  <c r="E14" i="1"/>
  <c r="E16" i="1" s="1"/>
  <c r="E17" i="1" s="1"/>
  <c r="M14" i="1"/>
  <c r="M16" i="1" s="1"/>
  <c r="M17" i="1" s="1"/>
  <c r="P14" i="1"/>
  <c r="P16" i="1" s="1"/>
  <c r="P17" i="1" s="1"/>
  <c r="F14" i="1"/>
  <c r="F16" i="1" s="1"/>
  <c r="F17" i="1" s="1"/>
  <c r="F18" i="1" s="1"/>
  <c r="G13" i="1"/>
  <c r="G14" i="1" s="1"/>
  <c r="G16" i="1" s="1"/>
  <c r="G17" i="1" s="1"/>
  <c r="W13" i="1"/>
  <c r="W14" i="1" s="1"/>
  <c r="W16" i="1" s="1"/>
  <c r="W17" i="1" s="1"/>
  <c r="L13" i="1"/>
  <c r="L14" i="1" s="1"/>
  <c r="L16" i="1" s="1"/>
  <c r="L17" i="1" s="1"/>
  <c r="S13" i="1"/>
  <c r="S14" i="1" s="1"/>
  <c r="S16" i="1" s="1"/>
  <c r="S17" i="1" s="1"/>
  <c r="V13" i="1"/>
  <c r="V14" i="1" s="1"/>
  <c r="V16" i="1" s="1"/>
  <c r="V17" i="1" s="1"/>
  <c r="O13" i="1"/>
  <c r="O14" i="1" s="1"/>
  <c r="O16" i="1" s="1"/>
  <c r="O17" i="1" s="1"/>
  <c r="Q13" i="1"/>
  <c r="Q14" i="1" s="1"/>
  <c r="Q16" i="1" s="1"/>
  <c r="Q17" i="1" s="1"/>
  <c r="N13" i="1"/>
  <c r="N14" i="1" s="1"/>
  <c r="N16" i="1" s="1"/>
  <c r="N17" i="1" s="1"/>
  <c r="I13" i="1"/>
  <c r="I14" i="1" s="1"/>
  <c r="I16" i="1" s="1"/>
  <c r="I17" i="1" s="1"/>
  <c r="N18" i="1" l="1"/>
  <c r="M18" i="1"/>
  <c r="U18" i="1"/>
  <c r="E18" i="1"/>
  <c r="H18" i="1"/>
  <c r="V18" i="1"/>
  <c r="O18" i="1"/>
  <c r="P18" i="1"/>
  <c r="G18" i="1"/>
  <c r="K18" i="1"/>
  <c r="I18" i="1"/>
  <c r="S18" i="1"/>
  <c r="L18" i="1"/>
  <c r="W18" i="1"/>
  <c r="Q18" i="1"/>
  <c r="D18" i="1"/>
  <c r="D19" i="1" l="1"/>
</calcChain>
</file>

<file path=xl/sharedStrings.xml><?xml version="1.0" encoding="utf-8"?>
<sst xmlns="http://schemas.openxmlformats.org/spreadsheetml/2006/main" count="88" uniqueCount="57">
  <si>
    <t>Euro/kWh</t>
  </si>
  <si>
    <t>Euro</t>
  </si>
  <si>
    <t>kWh</t>
  </si>
  <si>
    <t>Percentage salderen</t>
  </si>
  <si>
    <t>Rendement (IRR)</t>
  </si>
  <si>
    <t>invoer</t>
  </si>
  <si>
    <t>eenheid</t>
  </si>
  <si>
    <t>omschrijving</t>
  </si>
  <si>
    <t>toelichting</t>
  </si>
  <si>
    <t xml:space="preserve">De investering is het eenmalige bedrag dat u uitgeeft voor aanschaf en installatie van het gehele zonnestroomsysteem. Als particulier kunt u (onder voorwaarden) de zonnepanelen tegen 0% BTW aanschaffen. Voer dan het bedrag exclusief BTW in. </t>
  </si>
  <si>
    <t>Investering</t>
  </si>
  <si>
    <t>Productie</t>
  </si>
  <si>
    <t>Zelfconsumptie</t>
  </si>
  <si>
    <t>Teruglevering</t>
  </si>
  <si>
    <t>Afnametarief</t>
  </si>
  <si>
    <t>Teruglevertarief</t>
  </si>
  <si>
    <t>Terugleverkosten</t>
  </si>
  <si>
    <t>Prijsstijging</t>
  </si>
  <si>
    <t>De variabele stroomprijzen voor particulieren zijn over een periode van 20 jaar gemiddelde met 2% jaarlijkse gestegen.</t>
  </si>
  <si>
    <t>Degradatie</t>
  </si>
  <si>
    <t>Salderen</t>
  </si>
  <si>
    <t>Het stroomverbruik leest u op de jaarnota van uw energieleverancier. Het gaat om het werkelijke verbruik per jaar, dat u heeft (of zou hebben) zonder zonnepanelen.</t>
  </si>
  <si>
    <t>Voer de gegevens voor uw project hieronder in</t>
  </si>
  <si>
    <t>Dit is het tarief dat uw energieleverancier in rekening brengt voor de stroom die u afneemt.
Onder de salderingsregeling geldt dit tarief voor het saldo van stroomafname en -teruglevering (als u meer stroom afneemt dan teruglevert)
Zonder salderingsregeling betaalt u het afnametarief voor alle stroom die u afneemt, onafhankelijk van de teruggeleverde hoeveelheid.</t>
  </si>
  <si>
    <t>Omdat energieleveranciers onder de salderingsregeling verlies maken op teruggeleverde stroom, brengen zij bezitters van zonnepanelen terugleverkosten in rekening. Energieleveranciers hanteren verschillende berekeningswijzen. Wij gaan in de berekening uit van een vergoeding per kWh teruggeleverde stroom.</t>
  </si>
  <si>
    <t>Dit is het tarief dat uw energieleverancier u vergoedt voor het leveren van stroom aan het openbare net.
Onder de salderingsregeling geldt dit tarief voor het saldo van afname minus teruglevering als u meer teruglevert dan afneemt.
Zonder salderingsregeling geldt dit tarief  voor alle stroom die u teruggelevert.</t>
  </si>
  <si>
    <t>De berekening van het financiëel rendement wordt gemaakt voor een periode van 20 jaar, overeenkomend met de veelvoorkomende garantietermijn op zonnepanelen.</t>
  </si>
  <si>
    <t>percentage</t>
  </si>
  <si>
    <t xml:space="preserve">Het percentage van de teruggeleverde stroom dat van de afgenomen hoeveelheid stroom afgetrokken mag worden. </t>
  </si>
  <si>
    <t>stap 1 Verbruik</t>
  </si>
  <si>
    <t>Bruto verbruik</t>
  </si>
  <si>
    <t>kWh/jaar</t>
  </si>
  <si>
    <t>Vul hier de (verwachte) productie van de zonnepanelen in.</t>
  </si>
  <si>
    <t>Vul hier het aandeel van de jaarproductie van de zonnepanelen in dat u direct gebruikt in huis. Dit is de stroom die van de zonnepanelen direct naar de wasmachine of andere huishoudelijke apparaten gaat. U ziet dit verbruik niet terug op de energienota.
Zonder thuisbatterij, warmtepomp en elektrische auto is het percentage zelfconsumptie gemiddeld 33%, ervan uitgaande dat de zonnepanelen op jaarbasis 80-100 % van uw bruto verbruik produceren. U levert dan 67% van de productie aan het openbare net. 
Het percentage zelfconsumptie wordt hoger met een thuisbatterij, maar lager met een warmtepomp, elektrische auto of als u meer produceert dan uw bruto verbruik.</t>
  </si>
  <si>
    <t>De stroomopbrengst van zonnepanelen gaat achteruit naarmate de panelen ouder worden. Veel fabrikanten geven aan dat hun zonnepanelen jaarlijks 0,8% degraderen.</t>
  </si>
  <si>
    <t>Netto verbruik</t>
  </si>
  <si>
    <r>
      <t xml:space="preserve">De rekentool is bedoeld voor particulieren. De algemene leveringsvoorwaarden van Woondokter zijn van toepassing, zie </t>
    </r>
    <r>
      <rPr>
        <b/>
        <sz val="11"/>
        <color rgb="FF00A8A9"/>
        <rFont val="Calibri"/>
        <family val="2"/>
        <scheme val="minor"/>
      </rPr>
      <t>https://www.woondokter.nl/algemene-voorwaarden/</t>
    </r>
    <r>
      <rPr>
        <sz val="11"/>
        <color theme="1"/>
        <rFont val="Calibri"/>
        <family val="2"/>
        <scheme val="minor"/>
      </rPr>
      <t>. Er kunnen geen rechten aan ontleend worden. Bij toepassing van de rekentool voor derden, zoals rapporten, berekeningen of publicatie, moet de naam van Woondokter vermeld worden.</t>
    </r>
  </si>
  <si>
    <t>stap 2 Saldering</t>
  </si>
  <si>
    <t>stap 3 Opbrengst</t>
  </si>
  <si>
    <t>stap 4 Kosten</t>
  </si>
  <si>
    <t>stap 5 Resultaat</t>
  </si>
  <si>
    <t>Teruglevering gesaldeerd</t>
  </si>
  <si>
    <t>Netto verbruik gesaldeerd</t>
  </si>
  <si>
    <t>Teruglevering niet-gesaldeerd</t>
  </si>
  <si>
    <t>Kosten netto verbruik gesaldeerd</t>
  </si>
  <si>
    <t>Besparing met zonnepanelen</t>
  </si>
  <si>
    <t>Stroomkosten zonder zonnepanelen</t>
  </si>
  <si>
    <t>Totaal opbrengst met zonnepanelen</t>
  </si>
  <si>
    <t>Totaal kosten met zonnepanelen</t>
  </si>
  <si>
    <t>Stroomkosten met zonnepanelen</t>
  </si>
  <si>
    <t>Opbrenst - Kosten</t>
  </si>
  <si>
    <t>Deze rekentool bestaat uit drie tabbladen: Toelichting, Invoer en Resultaat. Op het tabblad Invoer kunt u uw gegevens invullen in de grijs gemarkeerde cellen. De berekening en de uitkomst daarvan (het financieel rendement) worden getoond op het tabblad Resultaat. De door ons ingevoerde getallen dienen als voorbeeld.</t>
  </si>
  <si>
    <t>Woondokter rekentool voor berekening van het financieel rendement van zonnepanelen</t>
  </si>
  <si>
    <t>U kunt het percentage salderen opgeven voor de jaren 2025 t/m 2031. De percentages voor de jaren 2032 t/m 2044 zijn in de berekening gelijkgesteld aan dat van 2031. Het voorstel in het hoofdlijnenakkoord van mei 2024 is de beëindiging van de salderingsregeling vanaf 1/1/2027.</t>
  </si>
  <si>
    <t>Energieleveranciers hanteren de huidige salderingsregeling verschillend. Wij gaan uit van het salderen van de totale hoeveelheid stroomafname en -teruglevering op jaarbasis.</t>
  </si>
  <si>
    <t xml:space="preserve">Momenteel rekenen veel energieleveranciers terugleverkosten, gemiddeld 0.09 euro per teruggeleverde kWh. Wij gaan ervan uit dat de terugleverkosten vervallen als de salderingsregeling is beëindigd. </t>
  </si>
  <si>
    <t>We gebruiken Internal Rate of Return (IRR) als het financieel rendement. IRR is vergelijkbaar met de rente op een spaarrekening. We berekenen IRR over een periode van 20 jaar. IRR is berekend o.b.v. de investering in zonnepanelen en het financiële voordeel dat u daarmee behaalt.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</si>
</sst>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tint="0.249977111117893"/>
      <name val="Calibri"/>
      <family val="2"/>
      <scheme val="minor"/>
    </font>
    <font>
      <b/>
      <sz val="11"/>
      <color rgb="FF00A8A9"/>
      <name val="Calibri"/>
      <family val="2"/>
      <scheme val="minor"/>
    </font>
    <font>
      <b/>
      <sz val="14"/>
      <color rgb="FF00A8A9"/>
      <name val="Calibri"/>
      <family val="2"/>
      <scheme val="minor"/>
    </font>
    <font>
      <b/>
      <sz val="16"/>
      <color theme="0"/>
      <name val="Calibri"/>
      <family val="2"/>
      <scheme val="minor"/>
    </font>
    <font>
      <b/>
      <sz val="16"/>
      <color rgb="FF00A8A9"/>
      <name val="Calibri"/>
      <family val="2"/>
      <scheme val="minor"/>
    </font>
    <font>
      <b/>
      <sz val="16"/>
      <color theme="1"/>
      <name val="Calibri"/>
      <family val="2"/>
      <scheme val="minor"/>
    </font>
  </fonts>
  <fills count="7">
    <fill>
      <patternFill patternType="none"/>
    </fill>
    <fill>
      <patternFill patternType="gray125"/>
    </fill>
    <fill>
      <patternFill patternType="solid">
        <fgColor rgb="FF00A8A9"/>
        <bgColor indexed="64"/>
      </patternFill>
    </fill>
    <fill>
      <patternFill patternType="solid">
        <fgColor theme="0" tint="-0.249977111117893"/>
        <bgColor indexed="64"/>
      </patternFill>
    </fill>
    <fill>
      <patternFill patternType="solid">
        <fgColor theme="0"/>
        <bgColor indexed="64"/>
      </patternFill>
    </fill>
    <fill>
      <patternFill patternType="solid">
        <fgColor rgb="FFE7FFFF"/>
        <bgColor indexed="64"/>
      </patternFill>
    </fill>
    <fill>
      <patternFill patternType="solid">
        <fgColor theme="0" tint="-0.14999847407452621"/>
        <bgColor indexed="64"/>
      </patternFill>
    </fill>
  </fills>
  <borders count="6">
    <border>
      <left/>
      <right/>
      <top/>
      <bottom/>
      <diagonal/>
    </border>
    <border>
      <left style="thin">
        <color rgb="FF00A8A9"/>
      </left>
      <right style="thin">
        <color rgb="FF00A8A9"/>
      </right>
      <top style="thin">
        <color rgb="FF00A8A9"/>
      </top>
      <bottom style="thin">
        <color rgb="FF00A8A9"/>
      </bottom>
      <diagonal/>
    </border>
    <border>
      <left/>
      <right style="thin">
        <color rgb="FF00A8A9"/>
      </right>
      <top style="thin">
        <color rgb="FF00A8A9"/>
      </top>
      <bottom style="thin">
        <color rgb="FF00A8A9"/>
      </bottom>
      <diagonal/>
    </border>
    <border>
      <left style="thin">
        <color rgb="FF00A8A9"/>
      </left>
      <right style="thin">
        <color rgb="FF00A8A9"/>
      </right>
      <top style="thin">
        <color rgb="FF00A8A9"/>
      </top>
      <bottom/>
      <diagonal/>
    </border>
    <border>
      <left style="thin">
        <color rgb="FF00A8A9"/>
      </left>
      <right style="thin">
        <color rgb="FF00A8A9"/>
      </right>
      <top/>
      <bottom/>
      <diagonal/>
    </border>
    <border>
      <left style="thin">
        <color rgb="FF00A8A9"/>
      </left>
      <right style="thin">
        <color rgb="FF00A8A9"/>
      </right>
      <top/>
      <bottom style="thin">
        <color rgb="FF00A8A9"/>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3" fillId="2" borderId="0" xfId="0" applyFont="1" applyFill="1" applyAlignment="1">
      <alignment horizontal="center" vertical="center"/>
    </xf>
    <xf numFmtId="164" fontId="3" fillId="2" borderId="0" xfId="1" applyNumberFormat="1" applyFont="1" applyFill="1" applyAlignment="1">
      <alignment horizontal="center" vertical="center"/>
    </xf>
    <xf numFmtId="0" fontId="3" fillId="2" borderId="0" xfId="0" applyFont="1" applyFill="1" applyAlignment="1">
      <alignment horizontal="left" vertical="center" wrapText="1"/>
    </xf>
    <xf numFmtId="0" fontId="5" fillId="0" borderId="0" xfId="0" applyFont="1" applyAlignment="1">
      <alignment horizontal="left" vertical="center"/>
    </xf>
    <xf numFmtId="0" fontId="0" fillId="0" borderId="0" xfId="0" applyAlignment="1">
      <alignment vertical="center" wrapText="1"/>
    </xf>
    <xf numFmtId="0" fontId="0" fillId="0" borderId="0" xfId="0" applyAlignment="1">
      <alignment vertical="top"/>
    </xf>
    <xf numFmtId="0" fontId="6" fillId="4" borderId="0" xfId="0" applyFont="1" applyFill="1" applyAlignment="1">
      <alignment vertical="center" wrapText="1"/>
    </xf>
    <xf numFmtId="0" fontId="3" fillId="2" borderId="0" xfId="0" applyFont="1" applyFill="1" applyAlignment="1">
      <alignment horizontal="left" vertical="center" indent="1"/>
    </xf>
    <xf numFmtId="0" fontId="6" fillId="4" borderId="0" xfId="0" applyFont="1" applyFill="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6" fillId="4" borderId="0" xfId="0" applyFont="1" applyFill="1" applyAlignment="1">
      <alignment horizontal="left" vertical="center" wrapText="1" indent="5"/>
    </xf>
    <xf numFmtId="0" fontId="2" fillId="0" borderId="0" xfId="0" applyFont="1" applyAlignment="1">
      <alignment horizontal="left" vertical="center" indent="1"/>
    </xf>
    <xf numFmtId="0" fontId="4" fillId="0" borderId="1" xfId="0" applyFont="1" applyBorder="1" applyAlignment="1">
      <alignment horizontal="left" vertical="top" indent="1"/>
    </xf>
    <xf numFmtId="0" fontId="4" fillId="0" borderId="1" xfId="0" applyFont="1" applyBorder="1" applyAlignment="1">
      <alignment horizontal="center" vertical="top"/>
    </xf>
    <xf numFmtId="3" fontId="4" fillId="3" borderId="1" xfId="0" applyNumberFormat="1" applyFont="1" applyFill="1" applyBorder="1" applyAlignment="1" applyProtection="1">
      <alignment horizontal="center" vertical="top"/>
      <protection locked="0"/>
    </xf>
    <xf numFmtId="0" fontId="0" fillId="0" borderId="1" xfId="0" applyBorder="1" applyAlignment="1">
      <alignment vertical="top" wrapText="1"/>
    </xf>
    <xf numFmtId="9" fontId="4" fillId="3" borderId="1" xfId="1" applyFont="1" applyFill="1" applyBorder="1" applyAlignment="1" applyProtection="1">
      <alignment horizontal="center" vertical="top"/>
      <protection locked="0"/>
    </xf>
    <xf numFmtId="9" fontId="4" fillId="0" borderId="1" xfId="1" applyFont="1" applyBorder="1" applyAlignment="1" applyProtection="1">
      <alignment horizontal="center" vertical="top"/>
    </xf>
    <xf numFmtId="0" fontId="4" fillId="0" borderId="1" xfId="0" applyFont="1" applyBorder="1" applyAlignment="1">
      <alignment vertical="top" wrapText="1"/>
    </xf>
    <xf numFmtId="0" fontId="4" fillId="3" borderId="1" xfId="0" applyFont="1" applyFill="1" applyBorder="1" applyAlignment="1" applyProtection="1">
      <alignment horizontal="center" vertical="top"/>
      <protection locked="0"/>
    </xf>
    <xf numFmtId="0" fontId="0" fillId="0" borderId="1" xfId="0" applyBorder="1" applyAlignment="1">
      <alignment horizontal="left" vertical="top" indent="1"/>
    </xf>
    <xf numFmtId="0" fontId="0" fillId="0" borderId="1" xfId="0" applyBorder="1" applyAlignment="1">
      <alignment horizontal="center" vertical="top"/>
    </xf>
    <xf numFmtId="164" fontId="4" fillId="3" borderId="1" xfId="1" applyNumberFormat="1" applyFont="1" applyFill="1" applyBorder="1" applyAlignment="1" applyProtection="1">
      <alignment horizontal="center" vertical="top"/>
      <protection locked="0"/>
    </xf>
    <xf numFmtId="0" fontId="0" fillId="0" borderId="1" xfId="0" applyBorder="1" applyAlignment="1">
      <alignment horizontal="center" vertical="center"/>
    </xf>
    <xf numFmtId="0" fontId="0" fillId="0" borderId="3" xfId="0" applyBorder="1" applyAlignment="1">
      <alignment horizontal="left" vertical="top" indent="1"/>
    </xf>
    <xf numFmtId="0" fontId="0" fillId="0" borderId="3" xfId="0" applyBorder="1" applyAlignment="1">
      <alignment horizontal="center" vertical="top"/>
    </xf>
    <xf numFmtId="0" fontId="0" fillId="0" borderId="4" xfId="0" applyBorder="1" applyAlignment="1">
      <alignment horizontal="center" vertical="center"/>
    </xf>
    <xf numFmtId="0" fontId="0" fillId="0" borderId="5" xfId="0" applyBorder="1" applyAlignment="1">
      <alignment horizontal="center" vertical="center"/>
    </xf>
    <xf numFmtId="0" fontId="0" fillId="5" borderId="0" xfId="0" applyFill="1" applyAlignment="1">
      <alignment vertical="center"/>
    </xf>
    <xf numFmtId="0" fontId="2" fillId="5" borderId="0" xfId="0" applyFont="1" applyFill="1" applyAlignment="1">
      <alignment horizontal="left" vertical="center" indent="1"/>
    </xf>
    <xf numFmtId="0" fontId="0" fillId="5" borderId="0" xfId="0" applyFill="1" applyAlignment="1">
      <alignment horizontal="center" vertical="center"/>
    </xf>
    <xf numFmtId="3" fontId="0" fillId="5" borderId="0" xfId="1" applyNumberFormat="1" applyFont="1" applyFill="1" applyAlignment="1">
      <alignment horizontal="center" vertical="center"/>
    </xf>
    <xf numFmtId="3" fontId="0" fillId="5" borderId="0" xfId="0" applyNumberFormat="1" applyFill="1" applyAlignment="1">
      <alignment horizontal="center" vertical="center"/>
    </xf>
    <xf numFmtId="9" fontId="4" fillId="3" borderId="2" xfId="1" applyFont="1" applyFill="1" applyBorder="1" applyAlignment="1" applyProtection="1">
      <alignment horizontal="center" vertical="top"/>
      <protection locked="0"/>
    </xf>
    <xf numFmtId="0" fontId="0" fillId="6" borderId="0" xfId="0" applyFill="1" applyAlignment="1">
      <alignment vertical="center"/>
    </xf>
    <xf numFmtId="0" fontId="2" fillId="6" borderId="0" xfId="0" applyFont="1" applyFill="1" applyAlignment="1">
      <alignment horizontal="left" vertical="center" indent="1"/>
    </xf>
    <xf numFmtId="0" fontId="0" fillId="6" borderId="0" xfId="0" applyFill="1" applyAlignment="1">
      <alignment horizontal="center" vertical="center"/>
    </xf>
    <xf numFmtId="9" fontId="0" fillId="6" borderId="0" xfId="1" applyFont="1" applyFill="1" applyAlignment="1">
      <alignment horizontal="center" vertical="center"/>
    </xf>
    <xf numFmtId="3" fontId="0" fillId="6" borderId="0" xfId="0" applyNumberFormat="1" applyFill="1" applyAlignment="1">
      <alignment horizontal="center" vertical="center"/>
    </xf>
    <xf numFmtId="3" fontId="0" fillId="6" borderId="0" xfId="1" applyNumberFormat="1" applyFont="1" applyFill="1" applyAlignment="1">
      <alignment horizontal="center" vertical="center"/>
    </xf>
    <xf numFmtId="0" fontId="0" fillId="0" borderId="0" xfId="0" applyAlignment="1">
      <alignment horizontal="left" vertical="top" wrapText="1" indent="1"/>
    </xf>
    <xf numFmtId="0" fontId="0" fillId="0" borderId="0" xfId="0" applyAlignment="1">
      <alignment horizontal="left" vertical="top" wrapText="1"/>
    </xf>
    <xf numFmtId="0" fontId="6" fillId="4" borderId="0" xfId="0" applyFont="1" applyFill="1" applyAlignment="1">
      <alignment horizontal="left" vertical="center" wrapText="1" indent="3"/>
    </xf>
    <xf numFmtId="0" fontId="0" fillId="0" borderId="1" xfId="0"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colors>
    <mruColors>
      <color rgb="FFE7FFFF"/>
      <color rgb="FFD1FFFF"/>
      <color rgb="FF00A8A9"/>
      <color rgb="FF8787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96016</xdr:rowOff>
    </xdr:from>
    <xdr:to>
      <xdr:col>0</xdr:col>
      <xdr:colOff>1439500</xdr:colOff>
      <xdr:row>0</xdr:row>
      <xdr:rowOff>650416</xdr:rowOff>
    </xdr:to>
    <xdr:pic>
      <xdr:nvPicPr>
        <xdr:cNvPr id="2" name="Afbeelding 1">
          <a:extLst>
            <a:ext uri="{FF2B5EF4-FFF2-40B4-BE49-F238E27FC236}">
              <a16:creationId xmlns:a16="http://schemas.microsoft.com/office/drawing/2014/main" id="{234F9A57-1270-4A59-938A-73A45E8963C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96016"/>
          <a:ext cx="1274400" cy="55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107950</xdr:colOff>
      <xdr:row>0</xdr:row>
      <xdr:rowOff>96016</xdr:rowOff>
    </xdr:from>
    <xdr:to>
      <xdr:col>0</xdr:col>
      <xdr:colOff>1382350</xdr:colOff>
      <xdr:row>0</xdr:row>
      <xdr:rowOff>650416</xdr:rowOff>
    </xdr:to>
    <xdr:pic>
      <xdr:nvPicPr>
        <xdr:cNvPr id="13" name="Afbeelding 12">
          <a:extLst>
            <a:ext uri="{FF2B5EF4-FFF2-40B4-BE49-F238E27FC236}">
              <a16:creationId xmlns:a16="http://schemas.microsoft.com/office/drawing/2014/main" id="{0A19E4E8-2B11-4127-A3FF-9F886D8D424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50" y="96016"/>
          <a:ext cx="1274400" cy="55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112059</xdr:colOff>
      <xdr:row>0</xdr:row>
      <xdr:rowOff>59766</xdr:rowOff>
    </xdr:from>
    <xdr:to>
      <xdr:col>0</xdr:col>
      <xdr:colOff>1606177</xdr:colOff>
      <xdr:row>0</xdr:row>
      <xdr:rowOff>724649</xdr:rowOff>
    </xdr:to>
    <xdr:pic>
      <xdr:nvPicPr>
        <xdr:cNvPr id="5" name="Afbeelding 4">
          <a:extLst>
            <a:ext uri="{FF2B5EF4-FFF2-40B4-BE49-F238E27FC236}">
              <a16:creationId xmlns:a16="http://schemas.microsoft.com/office/drawing/2014/main" id="{9D059D9A-2567-994C-833F-1DE8FDEE0CF0}"/>
            </a:ext>
          </a:extLst>
        </xdr:cNvPr>
        <xdr:cNvPicPr>
          <a:picLocks/>
        </xdr:cNvPicPr>
      </xdr:nvPicPr>
      <xdr:blipFill>
        <a:blip xmlns:r="http://schemas.openxmlformats.org/officeDocument/2006/relationships" r:embed="rId1"/>
        <a:stretch>
          <a:fillRect/>
        </a:stretch>
      </xdr:blipFill>
      <xdr:spPr>
        <a:xfrm>
          <a:off x="112059" y="59766"/>
          <a:ext cx="1494118" cy="664883"/>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EEED3-9BC4-484C-B8F7-615CED3CD7C0}">
  <dimension ref="A1:E14"/>
  <sheetViews>
    <sheetView showGridLines="0" showRowColHeaders="0" tabSelected="1" zoomScaleNormal="100" workbookViewId="0">
      <selection activeCell="C2" sqref="C2"/>
    </sheetView>
  </sheetViews>
  <sheetFormatPr defaultRowHeight="14.5" x14ac:dyDescent="0.35"/>
  <cols>
    <col min="1" max="1" width="22.08984375" style="1" customWidth="1"/>
    <col min="2" max="2" width="3.81640625" customWidth="1"/>
    <col min="3" max="3" width="135.6328125" customWidth="1"/>
  </cols>
  <sheetData>
    <row r="1" spans="1:5" s="2" customFormat="1" ht="56.5" customHeight="1" x14ac:dyDescent="0.35">
      <c r="A1" s="10"/>
      <c r="B1" s="12"/>
      <c r="C1" s="17" t="s">
        <v>52</v>
      </c>
      <c r="D1" s="10"/>
      <c r="E1" s="10"/>
    </row>
    <row r="2" spans="1:5" s="2" customFormat="1" ht="8.5" customHeight="1" x14ac:dyDescent="0.35">
      <c r="A2" s="10"/>
      <c r="B2" s="12"/>
      <c r="C2" s="10"/>
      <c r="D2" s="10"/>
      <c r="E2" s="10"/>
    </row>
    <row r="3" spans="1:5" s="9" customFormat="1" ht="36" customHeight="1" x14ac:dyDescent="0.35">
      <c r="A3" s="47" t="s">
        <v>51</v>
      </c>
      <c r="B3" s="47"/>
      <c r="C3" s="47"/>
    </row>
    <row r="4" spans="1:5" s="9" customFormat="1" ht="23" customHeight="1" x14ac:dyDescent="0.35">
      <c r="A4" s="47" t="s">
        <v>26</v>
      </c>
      <c r="B4" s="47"/>
      <c r="C4" s="47"/>
    </row>
    <row r="5" spans="1:5" s="9" customFormat="1" ht="39" customHeight="1" x14ac:dyDescent="0.35">
      <c r="A5" s="47" t="s">
        <v>53</v>
      </c>
      <c r="B5" s="47"/>
      <c r="C5" s="47"/>
    </row>
    <row r="6" spans="1:5" s="9" customFormat="1" ht="22" customHeight="1" x14ac:dyDescent="0.35">
      <c r="A6" s="47" t="s">
        <v>54</v>
      </c>
      <c r="B6" s="47"/>
      <c r="C6" s="47"/>
    </row>
    <row r="7" spans="1:5" s="9" customFormat="1" ht="38.5" customHeight="1" x14ac:dyDescent="0.35">
      <c r="A7" s="47" t="s">
        <v>55</v>
      </c>
      <c r="B7" s="47"/>
      <c r="C7" s="47"/>
    </row>
    <row r="8" spans="1:5" s="9" customFormat="1" ht="38" customHeight="1" x14ac:dyDescent="0.35">
      <c r="A8" s="47" t="s">
        <v>56</v>
      </c>
      <c r="B8" s="47"/>
      <c r="C8" s="47"/>
    </row>
    <row r="9" spans="1:5" s="9" customFormat="1" ht="38.5" customHeight="1" x14ac:dyDescent="0.35">
      <c r="A9" s="47" t="s">
        <v>36</v>
      </c>
      <c r="B9" s="47"/>
      <c r="C9" s="47"/>
    </row>
    <row r="10" spans="1:5" s="9" customFormat="1" x14ac:dyDescent="0.35">
      <c r="A10" s="48"/>
      <c r="B10" s="48"/>
      <c r="C10" s="48"/>
    </row>
    <row r="11" spans="1:5" s="9" customFormat="1" x14ac:dyDescent="0.35">
      <c r="A11" s="48"/>
      <c r="B11" s="48"/>
      <c r="C11" s="48"/>
    </row>
    <row r="12" spans="1:5" s="9" customFormat="1" x14ac:dyDescent="0.35">
      <c r="A12" s="48"/>
      <c r="B12" s="48"/>
      <c r="C12" s="48"/>
    </row>
    <row r="13" spans="1:5" s="9" customFormat="1" x14ac:dyDescent="0.35">
      <c r="A13" s="48"/>
      <c r="B13" s="48"/>
      <c r="C13" s="48"/>
    </row>
    <row r="14" spans="1:5" s="9" customFormat="1" x14ac:dyDescent="0.35">
      <c r="A14" s="48"/>
      <c r="B14" s="48"/>
      <c r="C14" s="48"/>
    </row>
  </sheetData>
  <sheetProtection sheet="1" objects="1" scenarios="1" selectLockedCells="1" selectUnlockedCells="1"/>
  <mergeCells count="12">
    <mergeCell ref="A3:C3"/>
    <mergeCell ref="A13:C13"/>
    <mergeCell ref="A14:C14"/>
    <mergeCell ref="A9:C9"/>
    <mergeCell ref="A10:C10"/>
    <mergeCell ref="A11:C11"/>
    <mergeCell ref="A12:C12"/>
    <mergeCell ref="A5:C5"/>
    <mergeCell ref="A4:C4"/>
    <mergeCell ref="A6:C6"/>
    <mergeCell ref="A8:C8"/>
    <mergeCell ref="A7: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5705B-993F-4E34-93A4-5EF445125FDE}">
  <dimension ref="A1:E18"/>
  <sheetViews>
    <sheetView showGridLines="0" showRowColHeaders="0" zoomScaleNormal="100" workbookViewId="0">
      <selection activeCell="C4" sqref="C4"/>
    </sheetView>
  </sheetViews>
  <sheetFormatPr defaultColWidth="9.1796875" defaultRowHeight="14.5" x14ac:dyDescent="0.35"/>
  <cols>
    <col min="1" max="1" width="22.08984375" style="1" customWidth="1"/>
    <col min="2" max="2" width="6.90625" style="1" customWidth="1"/>
    <col min="3" max="3" width="11.453125" style="2" customWidth="1"/>
    <col min="4" max="4" width="10.36328125" style="2" customWidth="1"/>
    <col min="5" max="5" width="93.54296875" style="8" customWidth="1"/>
    <col min="6" max="16384" width="9.1796875" style="2"/>
  </cols>
  <sheetData>
    <row r="1" spans="1:5" ht="56.5" customHeight="1" x14ac:dyDescent="0.35">
      <c r="A1" s="10"/>
      <c r="B1" s="12"/>
      <c r="C1" s="49" t="s">
        <v>22</v>
      </c>
      <c r="D1" s="49"/>
      <c r="E1" s="49"/>
    </row>
    <row r="2" spans="1:5" x14ac:dyDescent="0.35">
      <c r="A2" s="11" t="s">
        <v>7</v>
      </c>
      <c r="B2" s="4"/>
      <c r="C2" s="4" t="s">
        <v>5</v>
      </c>
      <c r="D2" s="4" t="s">
        <v>6</v>
      </c>
      <c r="E2" s="6" t="s">
        <v>8</v>
      </c>
    </row>
    <row r="3" spans="1:5" s="9" customFormat="1" ht="43.5" x14ac:dyDescent="0.35">
      <c r="A3" s="19" t="s">
        <v>10</v>
      </c>
      <c r="B3" s="20"/>
      <c r="C3" s="21">
        <v>6500</v>
      </c>
      <c r="D3" s="20" t="s">
        <v>1</v>
      </c>
      <c r="E3" s="22" t="s">
        <v>9</v>
      </c>
    </row>
    <row r="4" spans="1:5" s="9" customFormat="1" ht="29" x14ac:dyDescent="0.35">
      <c r="A4" s="19" t="s">
        <v>30</v>
      </c>
      <c r="B4" s="20"/>
      <c r="C4" s="21">
        <v>4000</v>
      </c>
      <c r="D4" s="20" t="s">
        <v>31</v>
      </c>
      <c r="E4" s="22" t="s">
        <v>21</v>
      </c>
    </row>
    <row r="5" spans="1:5" s="9" customFormat="1" x14ac:dyDescent="0.35">
      <c r="A5" s="19" t="s">
        <v>11</v>
      </c>
      <c r="B5" s="20"/>
      <c r="C5" s="21">
        <v>3600</v>
      </c>
      <c r="D5" s="20" t="s">
        <v>31</v>
      </c>
      <c r="E5" s="22" t="s">
        <v>32</v>
      </c>
    </row>
    <row r="6" spans="1:5" s="9" customFormat="1" ht="116" x14ac:dyDescent="0.35">
      <c r="A6" s="19" t="s">
        <v>12</v>
      </c>
      <c r="B6" s="20"/>
      <c r="C6" s="23">
        <f>1/3</f>
        <v>0.33333333333333331</v>
      </c>
      <c r="D6" s="24" t="s">
        <v>27</v>
      </c>
      <c r="E6" s="25" t="s">
        <v>33</v>
      </c>
    </row>
    <row r="7" spans="1:5" s="9" customFormat="1" ht="72.5" x14ac:dyDescent="0.35">
      <c r="A7" s="19" t="s">
        <v>14</v>
      </c>
      <c r="B7" s="20"/>
      <c r="C7" s="26">
        <v>0.26</v>
      </c>
      <c r="D7" s="20" t="s">
        <v>0</v>
      </c>
      <c r="E7" s="22" t="s">
        <v>23</v>
      </c>
    </row>
    <row r="8" spans="1:5" s="9" customFormat="1" ht="58" x14ac:dyDescent="0.35">
      <c r="A8" s="19" t="s">
        <v>15</v>
      </c>
      <c r="B8" s="20"/>
      <c r="C8" s="26">
        <v>0.05</v>
      </c>
      <c r="D8" s="20" t="s">
        <v>0</v>
      </c>
      <c r="E8" s="22" t="s">
        <v>25</v>
      </c>
    </row>
    <row r="9" spans="1:5" s="9" customFormat="1" ht="43.5" x14ac:dyDescent="0.35">
      <c r="A9" s="19" t="s">
        <v>16</v>
      </c>
      <c r="B9" s="20"/>
      <c r="C9" s="26">
        <v>0.09</v>
      </c>
      <c r="D9" s="20" t="s">
        <v>0</v>
      </c>
      <c r="E9" s="22" t="s">
        <v>24</v>
      </c>
    </row>
    <row r="10" spans="1:5" s="9" customFormat="1" ht="29" x14ac:dyDescent="0.35">
      <c r="A10" s="27" t="s">
        <v>17</v>
      </c>
      <c r="B10" s="28"/>
      <c r="C10" s="29">
        <v>0.02</v>
      </c>
      <c r="D10" s="24" t="s">
        <v>27</v>
      </c>
      <c r="E10" s="25" t="s">
        <v>18</v>
      </c>
    </row>
    <row r="11" spans="1:5" s="9" customFormat="1" ht="29" x14ac:dyDescent="0.35">
      <c r="A11" s="31" t="s">
        <v>19</v>
      </c>
      <c r="B11" s="32"/>
      <c r="C11" s="29">
        <v>8.0000000000000002E-3</v>
      </c>
      <c r="D11" s="24" t="s">
        <v>27</v>
      </c>
      <c r="E11" s="25" t="s">
        <v>34</v>
      </c>
    </row>
    <row r="12" spans="1:5" x14ac:dyDescent="0.35">
      <c r="A12" s="31" t="s">
        <v>20</v>
      </c>
      <c r="B12" s="30">
        <v>2025</v>
      </c>
      <c r="C12" s="40">
        <v>1</v>
      </c>
      <c r="D12" s="24" t="s">
        <v>27</v>
      </c>
      <c r="E12" s="50" t="s">
        <v>28</v>
      </c>
    </row>
    <row r="13" spans="1:5" x14ac:dyDescent="0.35">
      <c r="A13" s="33"/>
      <c r="B13" s="30">
        <f>B12+1</f>
        <v>2026</v>
      </c>
      <c r="C13" s="40">
        <v>1</v>
      </c>
      <c r="D13" s="24" t="s">
        <v>27</v>
      </c>
      <c r="E13" s="50"/>
    </row>
    <row r="14" spans="1:5" x14ac:dyDescent="0.35">
      <c r="A14" s="33"/>
      <c r="B14" s="30">
        <f t="shared" ref="B14:B18" si="0">B13+1</f>
        <v>2027</v>
      </c>
      <c r="C14" s="40">
        <v>0</v>
      </c>
      <c r="D14" s="24" t="s">
        <v>27</v>
      </c>
      <c r="E14" s="50"/>
    </row>
    <row r="15" spans="1:5" x14ac:dyDescent="0.35">
      <c r="A15" s="33"/>
      <c r="B15" s="30">
        <f t="shared" si="0"/>
        <v>2028</v>
      </c>
      <c r="C15" s="40">
        <v>0</v>
      </c>
      <c r="D15" s="24" t="s">
        <v>27</v>
      </c>
      <c r="E15" s="50"/>
    </row>
    <row r="16" spans="1:5" x14ac:dyDescent="0.35">
      <c r="A16" s="33"/>
      <c r="B16" s="30">
        <f t="shared" si="0"/>
        <v>2029</v>
      </c>
      <c r="C16" s="40">
        <v>0</v>
      </c>
      <c r="D16" s="24" t="s">
        <v>27</v>
      </c>
      <c r="E16" s="50"/>
    </row>
    <row r="17" spans="1:5" x14ac:dyDescent="0.35">
      <c r="A17" s="33"/>
      <c r="B17" s="30">
        <f t="shared" si="0"/>
        <v>2030</v>
      </c>
      <c r="C17" s="40">
        <v>0</v>
      </c>
      <c r="D17" s="24" t="s">
        <v>27</v>
      </c>
      <c r="E17" s="50"/>
    </row>
    <row r="18" spans="1:5" x14ac:dyDescent="0.35">
      <c r="A18" s="34"/>
      <c r="B18" s="30">
        <f t="shared" si="0"/>
        <v>2031</v>
      </c>
      <c r="C18" s="40">
        <v>0</v>
      </c>
      <c r="D18" s="24" t="s">
        <v>27</v>
      </c>
      <c r="E18" s="50"/>
    </row>
  </sheetData>
  <sheetProtection sheet="1" selectLockedCells="1"/>
  <mergeCells count="2">
    <mergeCell ref="C1:E1"/>
    <mergeCell ref="E12:E18"/>
  </mergeCells>
  <dataValidations count="1">
    <dataValidation type="decimal" allowBlank="1" showInputMessage="1" showErrorMessage="1" sqref="C6 C10:C18" xr:uid="{8263D5A9-6AA9-4B88-BB95-F98C1C1A0359}">
      <formula1>0</formula1>
      <formula2>1</formula2>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AEE4-AAFE-409B-B607-6793CE4DF46E}">
  <dimension ref="A1:X19"/>
  <sheetViews>
    <sheetView showGridLines="0" showRowColHeaders="0" zoomScale="70" zoomScaleNormal="70" workbookViewId="0">
      <selection activeCell="B1" sqref="B1"/>
    </sheetView>
  </sheetViews>
  <sheetFormatPr defaultColWidth="9.1796875" defaultRowHeight="19" customHeight="1" x14ac:dyDescent="0.35"/>
  <cols>
    <col min="1" max="1" width="26.08984375" style="2" customWidth="1"/>
    <col min="2" max="2" width="38.7265625" style="3" bestFit="1" customWidth="1"/>
    <col min="3" max="3" width="11" style="1" customWidth="1"/>
    <col min="4" max="5" width="7.7265625" style="2" customWidth="1"/>
    <col min="6" max="7" width="10" style="2" bestFit="1" customWidth="1"/>
    <col min="8" max="23" width="7.7265625" style="2" customWidth="1"/>
    <col min="24" max="16384" width="9.1796875" style="2"/>
  </cols>
  <sheetData>
    <row r="1" spans="1:24" s="16" customFormat="1" ht="61.5" customHeight="1" x14ac:dyDescent="0.35">
      <c r="B1" s="13"/>
      <c r="C1" s="14"/>
      <c r="D1" s="14">
        <v>2025</v>
      </c>
      <c r="E1" s="14">
        <f>D1+1</f>
        <v>2026</v>
      </c>
      <c r="F1" s="14">
        <f t="shared" ref="F1:W1" si="0">E1+1</f>
        <v>2027</v>
      </c>
      <c r="G1" s="14">
        <f t="shared" si="0"/>
        <v>2028</v>
      </c>
      <c r="H1" s="14">
        <f t="shared" si="0"/>
        <v>2029</v>
      </c>
      <c r="I1" s="14">
        <f t="shared" si="0"/>
        <v>2030</v>
      </c>
      <c r="J1" s="14">
        <f t="shared" si="0"/>
        <v>2031</v>
      </c>
      <c r="K1" s="14">
        <f t="shared" si="0"/>
        <v>2032</v>
      </c>
      <c r="L1" s="14">
        <f t="shared" si="0"/>
        <v>2033</v>
      </c>
      <c r="M1" s="14">
        <f t="shared" si="0"/>
        <v>2034</v>
      </c>
      <c r="N1" s="14">
        <f t="shared" si="0"/>
        <v>2035</v>
      </c>
      <c r="O1" s="14">
        <f t="shared" si="0"/>
        <v>2036</v>
      </c>
      <c r="P1" s="14">
        <f t="shared" si="0"/>
        <v>2037</v>
      </c>
      <c r="Q1" s="14">
        <f t="shared" si="0"/>
        <v>2038</v>
      </c>
      <c r="R1" s="14">
        <f t="shared" si="0"/>
        <v>2039</v>
      </c>
      <c r="S1" s="14">
        <f t="shared" si="0"/>
        <v>2040</v>
      </c>
      <c r="T1" s="14">
        <f t="shared" si="0"/>
        <v>2041</v>
      </c>
      <c r="U1" s="14">
        <f t="shared" si="0"/>
        <v>2042</v>
      </c>
      <c r="V1" s="14">
        <f t="shared" si="0"/>
        <v>2043</v>
      </c>
      <c r="W1" s="14">
        <f t="shared" si="0"/>
        <v>2044</v>
      </c>
      <c r="X1" s="15"/>
    </row>
    <row r="2" spans="1:24" ht="19" customHeight="1" x14ac:dyDescent="0.35">
      <c r="A2" s="35" t="s">
        <v>29</v>
      </c>
      <c r="B2" s="36" t="s">
        <v>30</v>
      </c>
      <c r="C2" s="37" t="s">
        <v>31</v>
      </c>
      <c r="D2" s="38">
        <f>Invoer!$C4</f>
        <v>4000</v>
      </c>
      <c r="E2" s="38">
        <f>Invoer!$C4</f>
        <v>4000</v>
      </c>
      <c r="F2" s="38">
        <f>Invoer!$C4</f>
        <v>4000</v>
      </c>
      <c r="G2" s="38">
        <f>Invoer!$C4</f>
        <v>4000</v>
      </c>
      <c r="H2" s="38">
        <f>Invoer!$C4</f>
        <v>4000</v>
      </c>
      <c r="I2" s="38">
        <f>Invoer!$C4</f>
        <v>4000</v>
      </c>
      <c r="J2" s="38">
        <f>Invoer!$C4</f>
        <v>4000</v>
      </c>
      <c r="K2" s="38">
        <f>Invoer!$C4</f>
        <v>4000</v>
      </c>
      <c r="L2" s="38">
        <f>Invoer!$C4</f>
        <v>4000</v>
      </c>
      <c r="M2" s="38">
        <f>Invoer!$C4</f>
        <v>4000</v>
      </c>
      <c r="N2" s="38">
        <f>Invoer!$C4</f>
        <v>4000</v>
      </c>
      <c r="O2" s="38">
        <f>Invoer!$C4</f>
        <v>4000</v>
      </c>
      <c r="P2" s="38">
        <f>Invoer!$C4</f>
        <v>4000</v>
      </c>
      <c r="Q2" s="38">
        <f>Invoer!$C4</f>
        <v>4000</v>
      </c>
      <c r="R2" s="38">
        <f>Invoer!$C4</f>
        <v>4000</v>
      </c>
      <c r="S2" s="38">
        <f>Invoer!$C4</f>
        <v>4000</v>
      </c>
      <c r="T2" s="38">
        <f>Invoer!$C4</f>
        <v>4000</v>
      </c>
      <c r="U2" s="38">
        <f>Invoer!$C4</f>
        <v>4000</v>
      </c>
      <c r="V2" s="38">
        <f>Invoer!$C4</f>
        <v>4000</v>
      </c>
      <c r="W2" s="38">
        <f>Invoer!$C4</f>
        <v>4000</v>
      </c>
    </row>
    <row r="3" spans="1:24" ht="19" customHeight="1" x14ac:dyDescent="0.35">
      <c r="A3" s="35"/>
      <c r="B3" s="36" t="s">
        <v>11</v>
      </c>
      <c r="C3" s="37" t="s">
        <v>31</v>
      </c>
      <c r="D3" s="38">
        <f>Invoer!$C$5*(1-Invoer!$C$11)^(Resultaat!D1-Resultaat!$D1)</f>
        <v>3600</v>
      </c>
      <c r="E3" s="38">
        <f>Invoer!$C$5*(1-Invoer!$C$11)^(Resultaat!E1-Resultaat!$D1)</f>
        <v>3571.2</v>
      </c>
      <c r="F3" s="38">
        <f>Invoer!$C$5*(1-Invoer!$C$11)^(Resultaat!F1-Resultaat!$D1)</f>
        <v>3542.6303999999996</v>
      </c>
      <c r="G3" s="38">
        <f>Invoer!$C$5*(1-Invoer!$C$11)^(Resultaat!G1-Resultaat!$D1)</f>
        <v>3514.2893567999995</v>
      </c>
      <c r="H3" s="38">
        <f>Invoer!$C$5*(1-Invoer!$C$11)^(Resultaat!H1-Resultaat!$D1)</f>
        <v>3486.1750419455993</v>
      </c>
      <c r="I3" s="38">
        <f>Invoer!$C$5*(1-Invoer!$C$11)^(Resultaat!I1-Resultaat!$D1)</f>
        <v>3458.2856416100349</v>
      </c>
      <c r="J3" s="38">
        <f>Invoer!$C$5*(1-Invoer!$C$11)^(Resultaat!J1-Resultaat!$D1)</f>
        <v>3430.6193564771543</v>
      </c>
      <c r="K3" s="38">
        <f>Invoer!$C$5*(1-Invoer!$C$11)^(Resultaat!K1-Resultaat!$D1)</f>
        <v>3403.1744016253369</v>
      </c>
      <c r="L3" s="38">
        <f>Invoer!$C$5*(1-Invoer!$C$11)^(Resultaat!L1-Resultaat!$D1)</f>
        <v>3375.9490064123343</v>
      </c>
      <c r="M3" s="38">
        <f>Invoer!$C$5*(1-Invoer!$C$11)^(Resultaat!M1-Resultaat!$D1)</f>
        <v>3348.9414143610356</v>
      </c>
      <c r="N3" s="38">
        <f>Invoer!$C$5*(1-Invoer!$C$11)^(Resultaat!N1-Resultaat!$D1)</f>
        <v>3322.1498830461469</v>
      </c>
      <c r="O3" s="38">
        <f>Invoer!$C$5*(1-Invoer!$C$11)^(Resultaat!O1-Resultaat!$D1)</f>
        <v>3295.5726839817776</v>
      </c>
      <c r="P3" s="38">
        <f>Invoer!$C$5*(1-Invoer!$C$11)^(Resultaat!P1-Resultaat!$D1)</f>
        <v>3269.2081025099233</v>
      </c>
      <c r="Q3" s="38">
        <f>Invoer!$C$5*(1-Invoer!$C$11)^(Resultaat!Q1-Resultaat!$D1)</f>
        <v>3243.0544376898442</v>
      </c>
      <c r="R3" s="38">
        <f>Invoer!$C$5*(1-Invoer!$C$11)^(Resultaat!R1-Resultaat!$D1)</f>
        <v>3217.1100021883249</v>
      </c>
      <c r="S3" s="38">
        <f>Invoer!$C$5*(1-Invoer!$C$11)^(Resultaat!S1-Resultaat!$D1)</f>
        <v>3191.3731221708185</v>
      </c>
      <c r="T3" s="38">
        <f>Invoer!$C$5*(1-Invoer!$C$11)^(Resultaat!T1-Resultaat!$D1)</f>
        <v>3165.8421371934519</v>
      </c>
      <c r="U3" s="38">
        <f>Invoer!$C$5*(1-Invoer!$C$11)^(Resultaat!U1-Resultaat!$D1)</f>
        <v>3140.5154000959042</v>
      </c>
      <c r="V3" s="38">
        <f>Invoer!$C$5*(1-Invoer!$C$11)^(Resultaat!V1-Resultaat!$D1)</f>
        <v>3115.3912768951368</v>
      </c>
      <c r="W3" s="38">
        <f>Invoer!$C$5*(1-Invoer!$C$11)^(Resultaat!W1-Resultaat!$D1)</f>
        <v>3090.4681466799752</v>
      </c>
    </row>
    <row r="4" spans="1:24" ht="19" customHeight="1" x14ac:dyDescent="0.35">
      <c r="A4" s="35"/>
      <c r="B4" s="36" t="s">
        <v>12</v>
      </c>
      <c r="C4" s="37" t="s">
        <v>31</v>
      </c>
      <c r="D4" s="39">
        <f>D3*Invoer!$C$6</f>
        <v>1200</v>
      </c>
      <c r="E4" s="39">
        <f>E3*Invoer!$C$6</f>
        <v>1190.3999999999999</v>
      </c>
      <c r="F4" s="39">
        <f>F3*Invoer!$C$6</f>
        <v>1180.8767999999998</v>
      </c>
      <c r="G4" s="39">
        <f>G3*Invoer!$C$6</f>
        <v>1171.4297855999998</v>
      </c>
      <c r="H4" s="39">
        <f>H3*Invoer!$C$6</f>
        <v>1162.0583473151996</v>
      </c>
      <c r="I4" s="39">
        <f>I3*Invoer!$C$6</f>
        <v>1152.7618805366783</v>
      </c>
      <c r="J4" s="39">
        <f>J3*Invoer!$C$6</f>
        <v>1143.5397854923847</v>
      </c>
      <c r="K4" s="39">
        <f>K3*Invoer!$C$6</f>
        <v>1134.3914672084456</v>
      </c>
      <c r="L4" s="39">
        <f>L3*Invoer!$C$6</f>
        <v>1125.3163354707781</v>
      </c>
      <c r="M4" s="39">
        <f>M3*Invoer!$C$6</f>
        <v>1116.3138047870118</v>
      </c>
      <c r="N4" s="39">
        <f>N3*Invoer!$C$6</f>
        <v>1107.3832943487155</v>
      </c>
      <c r="O4" s="39">
        <f>O3*Invoer!$C$6</f>
        <v>1098.5242279939257</v>
      </c>
      <c r="P4" s="39">
        <f>P3*Invoer!$C$6</f>
        <v>1089.7360341699743</v>
      </c>
      <c r="Q4" s="39">
        <f>Q3*Invoer!$C$6</f>
        <v>1081.0181458966147</v>
      </c>
      <c r="R4" s="39">
        <f>R3*Invoer!$C$6</f>
        <v>1072.3700007294415</v>
      </c>
      <c r="S4" s="39">
        <f>S3*Invoer!$C$6</f>
        <v>1063.7910407236061</v>
      </c>
      <c r="T4" s="39">
        <f>T3*Invoer!$C$6</f>
        <v>1055.2807123978173</v>
      </c>
      <c r="U4" s="39">
        <f>U3*Invoer!$C$6</f>
        <v>1046.8384666986346</v>
      </c>
      <c r="V4" s="39">
        <f>V3*Invoer!$C$6</f>
        <v>1038.4637589650456</v>
      </c>
      <c r="W4" s="39">
        <f>W3*Invoer!$C$6</f>
        <v>1030.1560488933251</v>
      </c>
    </row>
    <row r="5" spans="1:24" ht="19" customHeight="1" x14ac:dyDescent="0.35">
      <c r="A5" s="35"/>
      <c r="B5" s="36" t="s">
        <v>35</v>
      </c>
      <c r="C5" s="37" t="s">
        <v>31</v>
      </c>
      <c r="D5" s="39">
        <f>Invoer!$C$4-D4</f>
        <v>2800</v>
      </c>
      <c r="E5" s="39">
        <f>Invoer!$C$4-E4</f>
        <v>2809.6000000000004</v>
      </c>
      <c r="F5" s="39">
        <f>Invoer!$C$4-F4</f>
        <v>2819.1232</v>
      </c>
      <c r="G5" s="39">
        <f>Invoer!$C$4-G4</f>
        <v>2828.5702144000002</v>
      </c>
      <c r="H5" s="39">
        <f>Invoer!$C$4-H4</f>
        <v>2837.9416526848004</v>
      </c>
      <c r="I5" s="39">
        <f>Invoer!$C$4-I4</f>
        <v>2847.2381194633217</v>
      </c>
      <c r="J5" s="39">
        <f>Invoer!$C$4-J4</f>
        <v>2856.4602145076151</v>
      </c>
      <c r="K5" s="39">
        <f>Invoer!$C$4-K4</f>
        <v>2865.6085327915544</v>
      </c>
      <c r="L5" s="39">
        <f>Invoer!$C$4-L4</f>
        <v>2874.6836645292219</v>
      </c>
      <c r="M5" s="39">
        <f>Invoer!$C$4-M4</f>
        <v>2883.6861952129884</v>
      </c>
      <c r="N5" s="39">
        <f>Invoer!$C$4-N4</f>
        <v>2892.6167056512845</v>
      </c>
      <c r="O5" s="39">
        <f>Invoer!$C$4-O4</f>
        <v>2901.4757720060743</v>
      </c>
      <c r="P5" s="39">
        <f>Invoer!$C$4-P4</f>
        <v>2910.2639658300259</v>
      </c>
      <c r="Q5" s="39">
        <f>Invoer!$C$4-Q4</f>
        <v>2918.9818541033856</v>
      </c>
      <c r="R5" s="39">
        <f>Invoer!$C$4-R4</f>
        <v>2927.6299992705585</v>
      </c>
      <c r="S5" s="39">
        <f>Invoer!$C$4-S4</f>
        <v>2936.2089592763941</v>
      </c>
      <c r="T5" s="39">
        <f>Invoer!$C$4-T4</f>
        <v>2944.7192876021827</v>
      </c>
      <c r="U5" s="39">
        <f>Invoer!$C$4-U4</f>
        <v>2953.1615333013651</v>
      </c>
      <c r="V5" s="39">
        <f>Invoer!$C$4-V4</f>
        <v>2961.5362410349544</v>
      </c>
      <c r="W5" s="39">
        <f>Invoer!$C$4-W4</f>
        <v>2969.8439511066749</v>
      </c>
    </row>
    <row r="6" spans="1:24" ht="19" customHeight="1" x14ac:dyDescent="0.35">
      <c r="A6" s="35"/>
      <c r="B6" s="36" t="s">
        <v>13</v>
      </c>
      <c r="C6" s="37" t="s">
        <v>31</v>
      </c>
      <c r="D6" s="39">
        <f t="shared" ref="D6:W6" si="1">D3-D4</f>
        <v>2400</v>
      </c>
      <c r="E6" s="39">
        <f t="shared" si="1"/>
        <v>2380.8000000000002</v>
      </c>
      <c r="F6" s="39">
        <f t="shared" si="1"/>
        <v>2361.7536</v>
      </c>
      <c r="G6" s="39">
        <f t="shared" si="1"/>
        <v>2342.8595711999997</v>
      </c>
      <c r="H6" s="39">
        <f t="shared" si="1"/>
        <v>2324.1166946303997</v>
      </c>
      <c r="I6" s="39">
        <f t="shared" si="1"/>
        <v>2305.5237610733566</v>
      </c>
      <c r="J6" s="39">
        <f t="shared" si="1"/>
        <v>2287.0795709847698</v>
      </c>
      <c r="K6" s="39">
        <f t="shared" si="1"/>
        <v>2268.7829344168913</v>
      </c>
      <c r="L6" s="39">
        <f t="shared" si="1"/>
        <v>2250.6326709415562</v>
      </c>
      <c r="M6" s="39">
        <f t="shared" si="1"/>
        <v>2232.6276095740241</v>
      </c>
      <c r="N6" s="39">
        <f t="shared" si="1"/>
        <v>2214.7665886974314</v>
      </c>
      <c r="O6" s="39">
        <f t="shared" si="1"/>
        <v>2197.0484559878519</v>
      </c>
      <c r="P6" s="39">
        <f t="shared" si="1"/>
        <v>2179.4720683399491</v>
      </c>
      <c r="Q6" s="39">
        <f t="shared" si="1"/>
        <v>2162.0362917932298</v>
      </c>
      <c r="R6" s="39">
        <f t="shared" si="1"/>
        <v>2144.7400014588834</v>
      </c>
      <c r="S6" s="39">
        <f t="shared" si="1"/>
        <v>2127.5820814472127</v>
      </c>
      <c r="T6" s="39">
        <f t="shared" si="1"/>
        <v>2110.5614247956346</v>
      </c>
      <c r="U6" s="39">
        <f t="shared" si="1"/>
        <v>2093.6769333972697</v>
      </c>
      <c r="V6" s="39">
        <f t="shared" si="1"/>
        <v>2076.9275179300912</v>
      </c>
      <c r="W6" s="39">
        <f t="shared" si="1"/>
        <v>2060.3120977866502</v>
      </c>
    </row>
    <row r="7" spans="1:24" ht="19" customHeight="1" x14ac:dyDescent="0.35">
      <c r="A7" s="41" t="s">
        <v>37</v>
      </c>
      <c r="B7" s="42" t="s">
        <v>3</v>
      </c>
      <c r="C7" s="43"/>
      <c r="D7" s="44">
        <f>Invoer!C12</f>
        <v>1</v>
      </c>
      <c r="E7" s="44">
        <f>Invoer!C13</f>
        <v>1</v>
      </c>
      <c r="F7" s="44">
        <f>Invoer!C14</f>
        <v>0</v>
      </c>
      <c r="G7" s="44">
        <f>Invoer!C15</f>
        <v>0</v>
      </c>
      <c r="H7" s="44">
        <f>Invoer!C16</f>
        <v>0</v>
      </c>
      <c r="I7" s="44">
        <f>Invoer!C17</f>
        <v>0</v>
      </c>
      <c r="J7" s="44">
        <f>Invoer!C18</f>
        <v>0</v>
      </c>
      <c r="K7" s="44">
        <f>J7</f>
        <v>0</v>
      </c>
      <c r="L7" s="44">
        <f t="shared" ref="L7:W7" si="2">K7</f>
        <v>0</v>
      </c>
      <c r="M7" s="44">
        <f t="shared" si="2"/>
        <v>0</v>
      </c>
      <c r="N7" s="44">
        <f t="shared" si="2"/>
        <v>0</v>
      </c>
      <c r="O7" s="44">
        <f t="shared" si="2"/>
        <v>0</v>
      </c>
      <c r="P7" s="44">
        <f t="shared" si="2"/>
        <v>0</v>
      </c>
      <c r="Q7" s="44">
        <f t="shared" si="2"/>
        <v>0</v>
      </c>
      <c r="R7" s="44">
        <f t="shared" si="2"/>
        <v>0</v>
      </c>
      <c r="S7" s="44">
        <f t="shared" si="2"/>
        <v>0</v>
      </c>
      <c r="T7" s="44">
        <f t="shared" si="2"/>
        <v>0</v>
      </c>
      <c r="U7" s="44">
        <f t="shared" si="2"/>
        <v>0</v>
      </c>
      <c r="V7" s="44">
        <f t="shared" si="2"/>
        <v>0</v>
      </c>
      <c r="W7" s="44">
        <f t="shared" si="2"/>
        <v>0</v>
      </c>
    </row>
    <row r="8" spans="1:24" ht="19" customHeight="1" x14ac:dyDescent="0.35">
      <c r="A8" s="41"/>
      <c r="B8" s="42" t="s">
        <v>41</v>
      </c>
      <c r="C8" s="43" t="s">
        <v>2</v>
      </c>
      <c r="D8" s="45">
        <f>IF(D7*D6&lt;=D5,D7*D6,D5)</f>
        <v>2400</v>
      </c>
      <c r="E8" s="45">
        <f t="shared" ref="E8:W8" si="3">IF(E7*E6&lt;=E5,E7*E6,E5)</f>
        <v>2380.8000000000002</v>
      </c>
      <c r="F8" s="45">
        <f t="shared" si="3"/>
        <v>0</v>
      </c>
      <c r="G8" s="45">
        <f t="shared" si="3"/>
        <v>0</v>
      </c>
      <c r="H8" s="45">
        <f t="shared" si="3"/>
        <v>0</v>
      </c>
      <c r="I8" s="45">
        <f t="shared" si="3"/>
        <v>0</v>
      </c>
      <c r="J8" s="45">
        <f t="shared" si="3"/>
        <v>0</v>
      </c>
      <c r="K8" s="45">
        <f t="shared" si="3"/>
        <v>0</v>
      </c>
      <c r="L8" s="45">
        <f t="shared" si="3"/>
        <v>0</v>
      </c>
      <c r="M8" s="45">
        <f t="shared" si="3"/>
        <v>0</v>
      </c>
      <c r="N8" s="45">
        <f t="shared" si="3"/>
        <v>0</v>
      </c>
      <c r="O8" s="45">
        <f t="shared" si="3"/>
        <v>0</v>
      </c>
      <c r="P8" s="45">
        <f t="shared" si="3"/>
        <v>0</v>
      </c>
      <c r="Q8" s="45">
        <f t="shared" si="3"/>
        <v>0</v>
      </c>
      <c r="R8" s="45">
        <f t="shared" si="3"/>
        <v>0</v>
      </c>
      <c r="S8" s="45">
        <f t="shared" si="3"/>
        <v>0</v>
      </c>
      <c r="T8" s="45">
        <f t="shared" si="3"/>
        <v>0</v>
      </c>
      <c r="U8" s="45">
        <f t="shared" si="3"/>
        <v>0</v>
      </c>
      <c r="V8" s="45">
        <f t="shared" si="3"/>
        <v>0</v>
      </c>
      <c r="W8" s="45">
        <f t="shared" si="3"/>
        <v>0</v>
      </c>
    </row>
    <row r="9" spans="1:24" ht="19" customHeight="1" x14ac:dyDescent="0.35">
      <c r="A9" s="41"/>
      <c r="B9" s="42" t="s">
        <v>43</v>
      </c>
      <c r="C9" s="43" t="s">
        <v>2</v>
      </c>
      <c r="D9" s="45">
        <f>D6-D8</f>
        <v>0</v>
      </c>
      <c r="E9" s="45">
        <f t="shared" ref="E9:W9" si="4">E6-E8</f>
        <v>0</v>
      </c>
      <c r="F9" s="45">
        <f t="shared" si="4"/>
        <v>2361.7536</v>
      </c>
      <c r="G9" s="45">
        <f t="shared" si="4"/>
        <v>2342.8595711999997</v>
      </c>
      <c r="H9" s="45">
        <f t="shared" si="4"/>
        <v>2324.1166946303997</v>
      </c>
      <c r="I9" s="45">
        <f t="shared" si="4"/>
        <v>2305.5237610733566</v>
      </c>
      <c r="J9" s="45">
        <f t="shared" si="4"/>
        <v>2287.0795709847698</v>
      </c>
      <c r="K9" s="45">
        <f t="shared" si="4"/>
        <v>2268.7829344168913</v>
      </c>
      <c r="L9" s="45">
        <f t="shared" si="4"/>
        <v>2250.6326709415562</v>
      </c>
      <c r="M9" s="45">
        <f t="shared" si="4"/>
        <v>2232.6276095740241</v>
      </c>
      <c r="N9" s="45">
        <f t="shared" si="4"/>
        <v>2214.7665886974314</v>
      </c>
      <c r="O9" s="45">
        <f t="shared" si="4"/>
        <v>2197.0484559878519</v>
      </c>
      <c r="P9" s="45">
        <f t="shared" si="4"/>
        <v>2179.4720683399491</v>
      </c>
      <c r="Q9" s="45">
        <f t="shared" si="4"/>
        <v>2162.0362917932298</v>
      </c>
      <c r="R9" s="45">
        <f t="shared" si="4"/>
        <v>2144.7400014588834</v>
      </c>
      <c r="S9" s="45">
        <f t="shared" si="4"/>
        <v>2127.5820814472127</v>
      </c>
      <c r="T9" s="45">
        <f t="shared" si="4"/>
        <v>2110.5614247956346</v>
      </c>
      <c r="U9" s="45">
        <f t="shared" si="4"/>
        <v>2093.6769333972697</v>
      </c>
      <c r="V9" s="45">
        <f t="shared" si="4"/>
        <v>2076.9275179300912</v>
      </c>
      <c r="W9" s="45">
        <f t="shared" si="4"/>
        <v>2060.3120977866502</v>
      </c>
    </row>
    <row r="10" spans="1:24" ht="19" customHeight="1" x14ac:dyDescent="0.35">
      <c r="A10" s="41"/>
      <c r="B10" s="42" t="s">
        <v>42</v>
      </c>
      <c r="C10" s="43" t="s">
        <v>2</v>
      </c>
      <c r="D10" s="46">
        <f>D5-D8</f>
        <v>400</v>
      </c>
      <c r="E10" s="46">
        <f>E5-E8</f>
        <v>428.80000000000018</v>
      </c>
      <c r="F10" s="46">
        <f t="shared" ref="F10:W10" si="5">F5-F8</f>
        <v>2819.1232</v>
      </c>
      <c r="G10" s="46">
        <f t="shared" si="5"/>
        <v>2828.5702144000002</v>
      </c>
      <c r="H10" s="46">
        <f t="shared" si="5"/>
        <v>2837.9416526848004</v>
      </c>
      <c r="I10" s="46">
        <f t="shared" si="5"/>
        <v>2847.2381194633217</v>
      </c>
      <c r="J10" s="46">
        <f t="shared" si="5"/>
        <v>2856.4602145076151</v>
      </c>
      <c r="K10" s="46">
        <f t="shared" si="5"/>
        <v>2865.6085327915544</v>
      </c>
      <c r="L10" s="46">
        <f t="shared" si="5"/>
        <v>2874.6836645292219</v>
      </c>
      <c r="M10" s="46">
        <f t="shared" si="5"/>
        <v>2883.6861952129884</v>
      </c>
      <c r="N10" s="46">
        <f t="shared" si="5"/>
        <v>2892.6167056512845</v>
      </c>
      <c r="O10" s="46">
        <f t="shared" si="5"/>
        <v>2901.4757720060743</v>
      </c>
      <c r="P10" s="46">
        <f t="shared" si="5"/>
        <v>2910.2639658300259</v>
      </c>
      <c r="Q10" s="46">
        <f t="shared" si="5"/>
        <v>2918.9818541033856</v>
      </c>
      <c r="R10" s="46">
        <f t="shared" si="5"/>
        <v>2927.6299992705585</v>
      </c>
      <c r="S10" s="46">
        <f t="shared" si="5"/>
        <v>2936.2089592763941</v>
      </c>
      <c r="T10" s="46">
        <f t="shared" si="5"/>
        <v>2944.7192876021827</v>
      </c>
      <c r="U10" s="46">
        <f t="shared" si="5"/>
        <v>2953.1615333013651</v>
      </c>
      <c r="V10" s="46">
        <f t="shared" si="5"/>
        <v>2961.5362410349544</v>
      </c>
      <c r="W10" s="46">
        <f t="shared" si="5"/>
        <v>2969.8439511066749</v>
      </c>
    </row>
    <row r="11" spans="1:24" s="35" customFormat="1" ht="14.5" x14ac:dyDescent="0.35">
      <c r="A11" s="35" t="s">
        <v>38</v>
      </c>
      <c r="B11" s="36" t="s">
        <v>47</v>
      </c>
      <c r="C11" s="37" t="s">
        <v>1</v>
      </c>
      <c r="D11" s="39">
        <f>D9*Invoer!$C$8*(1+Invoer!$C$10)^(D1-$D$1)</f>
        <v>0</v>
      </c>
      <c r="E11" s="39">
        <f>E9*Invoer!$C$8*(1+Invoer!$C$10)^(E1-$D$1)</f>
        <v>0</v>
      </c>
      <c r="F11" s="39">
        <f>F9*Invoer!$C$8*(1+Invoer!$C$10)^(F1-$D$1)</f>
        <v>122.858422272</v>
      </c>
      <c r="G11" s="39">
        <f>G9*Invoer!$C$8*(1+Invoer!$C$10)^(G1-$D$1)</f>
        <v>124.31306599170046</v>
      </c>
      <c r="H11" s="39">
        <f>H9*Invoer!$C$8*(1+Invoer!$C$10)^(H1-$D$1)</f>
        <v>125.78493269304219</v>
      </c>
      <c r="I11" s="39">
        <f>I9*Invoer!$C$8*(1+Invoer!$C$10)^(I1-$D$1)</f>
        <v>127.27422629612784</v>
      </c>
      <c r="J11" s="39">
        <f>J9*Invoer!$C$8*(1+Invoer!$C$10)^(J1-$D$1)</f>
        <v>128.781153135474</v>
      </c>
      <c r="K11" s="39">
        <f>K9*Invoer!$C$8*(1+Invoer!$C$10)^(K1-$D$1)</f>
        <v>130.30592198859796</v>
      </c>
      <c r="L11" s="39">
        <f>L9*Invoer!$C$8*(1+Invoer!$C$10)^(L1-$D$1)</f>
        <v>131.84874410494297</v>
      </c>
      <c r="M11" s="39">
        <f>M9*Invoer!$C$8*(1+Invoer!$C$10)^(M1-$D$1)</f>
        <v>133.4098332351455</v>
      </c>
      <c r="N11" s="39">
        <f>N9*Invoer!$C$8*(1+Invoer!$C$10)^(N1-$D$1)</f>
        <v>134.98940566064962</v>
      </c>
      <c r="O11" s="39">
        <f>O9*Invoer!$C$8*(1+Invoer!$C$10)^(O1-$D$1)</f>
        <v>136.58768022367167</v>
      </c>
      <c r="P11" s="39">
        <f>P9*Invoer!$C$8*(1+Invoer!$C$10)^(P1-$D$1)</f>
        <v>138.20487835751999</v>
      </c>
      <c r="Q11" s="39">
        <f>Q9*Invoer!$C$8*(1+Invoer!$C$10)^(Q1-$D$1)</f>
        <v>139.84122411727301</v>
      </c>
      <c r="R11" s="39">
        <f>R9*Invoer!$C$8*(1+Invoer!$C$10)^(R1-$D$1)</f>
        <v>141.49694421082151</v>
      </c>
      <c r="S11" s="39">
        <f>S9*Invoer!$C$8*(1+Invoer!$C$10)^(S1-$D$1)</f>
        <v>143.17226803027762</v>
      </c>
      <c r="T11" s="39">
        <f>T9*Invoer!$C$8*(1+Invoer!$C$10)^(T1-$D$1)</f>
        <v>144.86742768375612</v>
      </c>
      <c r="U11" s="39">
        <f>U9*Invoer!$C$8*(1+Invoer!$C$10)^(U1-$D$1)</f>
        <v>146.58265802753181</v>
      </c>
      <c r="V11" s="39">
        <f>V9*Invoer!$C$8*(1+Invoer!$C$10)^(V1-$D$1)</f>
        <v>148.31819669857774</v>
      </c>
      <c r="W11" s="39">
        <f>W9*Invoer!$C$8*(1+Invoer!$C$10)^(W1-$D$1)</f>
        <v>150.07428414748887</v>
      </c>
    </row>
    <row r="12" spans="1:24" s="35" customFormat="1" ht="19" customHeight="1" x14ac:dyDescent="0.35">
      <c r="A12" s="41" t="s">
        <v>39</v>
      </c>
      <c r="B12" s="42" t="s">
        <v>16</v>
      </c>
      <c r="C12" s="43" t="s">
        <v>1</v>
      </c>
      <c r="D12" s="45">
        <f>IF(D8&gt;0,D8*Invoer!$C$9*(1+Invoer!$C$10)^(D1-$D$1),0)</f>
        <v>216</v>
      </c>
      <c r="E12" s="45">
        <f>IF(E8&gt;0,E8*Invoer!$C$9*(1+Invoer!$C$10)^(E1-$D$1),0)</f>
        <v>218.55744000000001</v>
      </c>
      <c r="F12" s="45">
        <f>IF(F8&gt;0,F8*Invoer!$C$9*(1+Invoer!$C$10)^(F1-$D$1),0)</f>
        <v>0</v>
      </c>
      <c r="G12" s="45">
        <f>IF(G8&gt;0,G8*Invoer!$C$9*(1+Invoer!$C$10)^(G1-$D$1),0)</f>
        <v>0</v>
      </c>
      <c r="H12" s="45">
        <f>IF(H8&gt;0,H8*Invoer!$C$9*(1+Invoer!$C$10)^(H1-$D$1),0)</f>
        <v>0</v>
      </c>
      <c r="I12" s="45">
        <f>IF(I8&gt;0,I8*Invoer!$C$9*(1+Invoer!$C$10)^(I1-$D$1),0)</f>
        <v>0</v>
      </c>
      <c r="J12" s="45">
        <f>IF(J8&gt;0,J8*Invoer!$C$9*(1+Invoer!$C$10)^(J1-$D$1),0)</f>
        <v>0</v>
      </c>
      <c r="K12" s="45">
        <f>IF(K8&gt;0,K8*Invoer!$C$9*(1+Invoer!$C$10)^(K1-$D$1),0)</f>
        <v>0</v>
      </c>
      <c r="L12" s="45">
        <f>IF(L8&gt;0,L8*Invoer!$C$9*(1+Invoer!$C$10)^(L1-$D$1),0)</f>
        <v>0</v>
      </c>
      <c r="M12" s="45">
        <f>IF(M8&gt;0,M8*Invoer!$C$9*(1+Invoer!$C$10)^(M1-$D$1),0)</f>
        <v>0</v>
      </c>
      <c r="N12" s="45">
        <f>IF(N8&gt;0,N8*Invoer!$C$9*(1+Invoer!$C$10)^(N1-$D$1),0)</f>
        <v>0</v>
      </c>
      <c r="O12" s="45">
        <f>IF(O8&gt;0,O8*Invoer!$C$9*(1+Invoer!$C$10)^(O1-$D$1),0)</f>
        <v>0</v>
      </c>
      <c r="P12" s="45">
        <f>IF(P8&gt;0,P8*Invoer!$C$9*(1+Invoer!$C$10)^(P1-$D$1),0)</f>
        <v>0</v>
      </c>
      <c r="Q12" s="45">
        <f>IF(Q8&gt;0,Q8*Invoer!$C$9*(1+Invoer!$C$10)^(Q1-$D$1),0)</f>
        <v>0</v>
      </c>
      <c r="R12" s="45">
        <f>IF(R8&gt;0,R8*Invoer!$C$9*(1+Invoer!$C$10)^(R1-$D$1),0)</f>
        <v>0</v>
      </c>
      <c r="S12" s="45">
        <f>IF(S8&gt;0,S8*Invoer!$C$9*(1+Invoer!$C$10)^(S1-$D$1),0)</f>
        <v>0</v>
      </c>
      <c r="T12" s="45">
        <f>IF(T8&gt;0,T8*Invoer!$C$9*(1+Invoer!$C$10)^(T1-$D$1),0)</f>
        <v>0</v>
      </c>
      <c r="U12" s="45">
        <f>IF(U8&gt;0,U8*Invoer!$C$9*(1+Invoer!$C$10)^(U1-$D$1),0)</f>
        <v>0</v>
      </c>
      <c r="V12" s="45">
        <f>IF(V8&gt;0,V8*Invoer!$C$9*(1+Invoer!$C$10)^(V1-$D$1),0)</f>
        <v>0</v>
      </c>
      <c r="W12" s="45">
        <f>IF(W8&gt;0,W8*Invoer!$C$9*(1+Invoer!$C$10)^(W1-$D$1),0)</f>
        <v>0</v>
      </c>
    </row>
    <row r="13" spans="1:24" s="35" customFormat="1" ht="19" customHeight="1" x14ac:dyDescent="0.35">
      <c r="A13" s="41"/>
      <c r="B13" s="42" t="s">
        <v>44</v>
      </c>
      <c r="C13" s="43" t="s">
        <v>1</v>
      </c>
      <c r="D13" s="45">
        <f>IF(D10&gt;0,D10*Invoer!$C$7*(1+Invoer!$C$10)^(D1-$D$1),0)</f>
        <v>104</v>
      </c>
      <c r="E13" s="45">
        <f>IF(E10&gt;0,E10*Invoer!$C$7*(1+Invoer!$C$10)^(E1-$D$1),0)</f>
        <v>113.71776000000006</v>
      </c>
      <c r="F13" s="45">
        <f>IF(F10&gt;0,F10*Invoer!$C$7*(1+Invoer!$C$10)^(F1-$D$1),0)</f>
        <v>762.58410209279998</v>
      </c>
      <c r="G13" s="45">
        <f>IF(G10&gt;0,G10*Invoer!$C$7*(1+Invoer!$C$10)^(G1-$D$1),0)</f>
        <v>780.4423484215788</v>
      </c>
      <c r="H13" s="45">
        <f>IF(H10&gt;0,H10*Invoer!$C$7*(1+Invoer!$C$10)^(H1-$D$1),0)</f>
        <v>798.68862139809028</v>
      </c>
      <c r="I13" s="45">
        <f>IF(I10&gt;0,I10*Invoer!$C$7*(1+Invoer!$C$10)^(I1-$D$1),0)</f>
        <v>817.33104695806776</v>
      </c>
      <c r="J13" s="45">
        <f>IF(J10&gt;0,J10*Invoer!$C$7*(1+Invoer!$C$10)^(J1-$D$1),0)</f>
        <v>836.37791788232767</v>
      </c>
      <c r="K13" s="45">
        <f>IF(K10&gt;0,K10*Invoer!$C$7*(1+Invoer!$C$10)^(K1-$D$1),0)</f>
        <v>855.83769718489634</v>
      </c>
      <c r="L13" s="45">
        <f>IF(L10&gt;0,L10*Invoer!$C$7*(1+Invoer!$C$10)^(L1-$D$1),0)</f>
        <v>875.71902156950443</v>
      </c>
      <c r="M13" s="45">
        <f>IF(M10&gt;0,M10*Invoer!$C$7*(1+Invoer!$C$10)^(M1-$D$1),0)</f>
        <v>896.03070495582506</v>
      </c>
      <c r="N13" s="45">
        <f>IF(N10&gt;0,N10*Invoer!$C$7*(1+Invoer!$C$10)^(N1-$D$1),0)</f>
        <v>916.78174207685856</v>
      </c>
      <c r="O13" s="45">
        <f>IF(O10&gt;0,O10*Invoer!$C$7*(1+Invoer!$C$10)^(O1-$D$1),0)</f>
        <v>937.98131214889179</v>
      </c>
      <c r="P13" s="45">
        <f>IF(P10&gt;0,P10*Invoer!$C$7*(1+Invoer!$C$10)^(P1-$D$1),0)</f>
        <v>959.6387826154953</v>
      </c>
      <c r="Q13" s="45">
        <f>IF(Q10&gt;0,Q10*Invoer!$C$7*(1+Invoer!$C$10)^(Q1-$D$1),0)</f>
        <v>981.76371296703826</v>
      </c>
      <c r="R13" s="45">
        <f>IF(R10&gt;0,R10*Invoer!$C$7*(1+Invoer!$C$10)^(R1-$D$1),0)</f>
        <v>1004.3658586372512</v>
      </c>
      <c r="S13" s="45">
        <f>IF(S10&gt;0,S10*Invoer!$C$7*(1+Invoer!$C$10)^(S1-$D$1),0)</f>
        <v>1027.4551749783727</v>
      </c>
      <c r="T13" s="45">
        <f>IF(T10&gt;0,T10*Invoer!$C$7*(1+Invoer!$C$10)^(T1-$D$1),0)</f>
        <v>1051.0418213164708</v>
      </c>
      <c r="U13" s="45">
        <f>IF(U10&gt;0,U10*Invoer!$C$7*(1+Invoer!$C$10)^(U1-$D$1),0)</f>
        <v>1075.1361650885387</v>
      </c>
      <c r="V13" s="45">
        <f>IF(V10&gt;0,V10*Invoer!$C$7*(1+Invoer!$C$10)^(V1-$D$1),0)</f>
        <v>1099.7487860630215</v>
      </c>
      <c r="W13" s="45">
        <f>IF(W10&gt;0,W10*Invoer!$C$7*(1+Invoer!$C$10)^(W1-$D$1),0)</f>
        <v>1124.8904806454391</v>
      </c>
    </row>
    <row r="14" spans="1:24" s="35" customFormat="1" ht="19" customHeight="1" x14ac:dyDescent="0.35">
      <c r="A14" s="41"/>
      <c r="B14" s="42" t="s">
        <v>48</v>
      </c>
      <c r="C14" s="43" t="s">
        <v>1</v>
      </c>
      <c r="D14" s="45">
        <f t="shared" ref="D14:W14" si="6">D12+D13</f>
        <v>320</v>
      </c>
      <c r="E14" s="45">
        <f t="shared" si="6"/>
        <v>332.27520000000004</v>
      </c>
      <c r="F14" s="45">
        <f t="shared" si="6"/>
        <v>762.58410209279998</v>
      </c>
      <c r="G14" s="45">
        <f t="shared" si="6"/>
        <v>780.4423484215788</v>
      </c>
      <c r="H14" s="45">
        <f t="shared" si="6"/>
        <v>798.68862139809028</v>
      </c>
      <c r="I14" s="45">
        <f t="shared" si="6"/>
        <v>817.33104695806776</v>
      </c>
      <c r="J14" s="45">
        <f t="shared" si="6"/>
        <v>836.37791788232767</v>
      </c>
      <c r="K14" s="45">
        <f t="shared" si="6"/>
        <v>855.83769718489634</v>
      </c>
      <c r="L14" s="45">
        <f t="shared" si="6"/>
        <v>875.71902156950443</v>
      </c>
      <c r="M14" s="45">
        <f t="shared" si="6"/>
        <v>896.03070495582506</v>
      </c>
      <c r="N14" s="45">
        <f t="shared" si="6"/>
        <v>916.78174207685856</v>
      </c>
      <c r="O14" s="45">
        <f t="shared" si="6"/>
        <v>937.98131214889179</v>
      </c>
      <c r="P14" s="45">
        <f t="shared" si="6"/>
        <v>959.6387826154953</v>
      </c>
      <c r="Q14" s="45">
        <f t="shared" si="6"/>
        <v>981.76371296703826</v>
      </c>
      <c r="R14" s="45">
        <f t="shared" si="6"/>
        <v>1004.3658586372512</v>
      </c>
      <c r="S14" s="45">
        <f t="shared" si="6"/>
        <v>1027.4551749783727</v>
      </c>
      <c r="T14" s="45">
        <f t="shared" si="6"/>
        <v>1051.0418213164708</v>
      </c>
      <c r="U14" s="45">
        <f t="shared" si="6"/>
        <v>1075.1361650885387</v>
      </c>
      <c r="V14" s="45">
        <f t="shared" si="6"/>
        <v>1099.7487860630215</v>
      </c>
      <c r="W14" s="45">
        <f t="shared" si="6"/>
        <v>1124.8904806454391</v>
      </c>
    </row>
    <row r="15" spans="1:24" ht="19" customHeight="1" x14ac:dyDescent="0.35">
      <c r="A15" s="35" t="s">
        <v>40</v>
      </c>
      <c r="B15" s="36" t="s">
        <v>46</v>
      </c>
      <c r="C15" s="37" t="s">
        <v>1</v>
      </c>
      <c r="D15" s="38">
        <f>D2*Invoer!$C$7*(1+Invoer!$C$10)^(D1-$D$1)</f>
        <v>1040</v>
      </c>
      <c r="E15" s="38">
        <f>E2*Invoer!$C$7*(1+Invoer!$C$10)^(E1-$D$1)</f>
        <v>1060.8</v>
      </c>
      <c r="F15" s="38">
        <f>F2*Invoer!$C$7*(1+Invoer!$C$10)^(F1-$D$1)</f>
        <v>1082.0160000000001</v>
      </c>
      <c r="G15" s="38">
        <f>G2*Invoer!$C$7*(1+Invoer!$C$10)^(G1-$D$1)</f>
        <v>1103.6563199999998</v>
      </c>
      <c r="H15" s="38">
        <f>H2*Invoer!$C$7*(1+Invoer!$C$10)^(H1-$D$1)</f>
        <v>1125.7294463999999</v>
      </c>
      <c r="I15" s="38">
        <f>I2*Invoer!$C$7*(1+Invoer!$C$10)^(I1-$D$1)</f>
        <v>1148.2440353280001</v>
      </c>
      <c r="J15" s="38">
        <f>J2*Invoer!$C$7*(1+Invoer!$C$10)^(J1-$D$1)</f>
        <v>1171.2089160345602</v>
      </c>
      <c r="K15" s="38">
        <f>K2*Invoer!$C$7*(1+Invoer!$C$10)^(K1-$D$1)</f>
        <v>1194.6330943552509</v>
      </c>
      <c r="L15" s="38">
        <f>L2*Invoer!$C$7*(1+Invoer!$C$10)^(L1-$D$1)</f>
        <v>1218.5257562423562</v>
      </c>
      <c r="M15" s="38">
        <f>M2*Invoer!$C$7*(1+Invoer!$C$10)^(M1-$D$1)</f>
        <v>1242.8962713672033</v>
      </c>
      <c r="N15" s="38">
        <f>N2*Invoer!$C$7*(1+Invoer!$C$10)^(N1-$D$1)</f>
        <v>1267.7541967945474</v>
      </c>
      <c r="O15" s="38">
        <f>O2*Invoer!$C$7*(1+Invoer!$C$10)^(O1-$D$1)</f>
        <v>1293.1092807304381</v>
      </c>
      <c r="P15" s="38">
        <f>P2*Invoer!$C$7*(1+Invoer!$C$10)^(P1-$D$1)</f>
        <v>1318.971466345047</v>
      </c>
      <c r="Q15" s="38">
        <f>Q2*Invoer!$C$7*(1+Invoer!$C$10)^(Q1-$D$1)</f>
        <v>1345.3508956719479</v>
      </c>
      <c r="R15" s="38">
        <f>R2*Invoer!$C$7*(1+Invoer!$C$10)^(R1-$D$1)</f>
        <v>1372.2579135853871</v>
      </c>
      <c r="S15" s="38">
        <f>S2*Invoer!$C$7*(1+Invoer!$C$10)^(S1-$D$1)</f>
        <v>1399.7030718570943</v>
      </c>
      <c r="T15" s="38">
        <f>T2*Invoer!$C$7*(1+Invoer!$C$10)^(T1-$D$1)</f>
        <v>1427.6971332942364</v>
      </c>
      <c r="U15" s="38">
        <f>U2*Invoer!$C$7*(1+Invoer!$C$10)^(U1-$D$1)</f>
        <v>1456.2510759601214</v>
      </c>
      <c r="V15" s="38">
        <f>V2*Invoer!$C$7*(1+Invoer!$C$10)^(V1-$D$1)</f>
        <v>1485.3760974793236</v>
      </c>
      <c r="W15" s="38">
        <f>W2*Invoer!$C$7*(1+Invoer!$C$10)^(W1-$D$1)</f>
        <v>1515.08361942891</v>
      </c>
    </row>
    <row r="16" spans="1:24" ht="19" customHeight="1" x14ac:dyDescent="0.35">
      <c r="A16" s="35"/>
      <c r="B16" s="36" t="s">
        <v>49</v>
      </c>
      <c r="C16" s="37" t="s">
        <v>1</v>
      </c>
      <c r="D16" s="38">
        <f>D14-D11</f>
        <v>320</v>
      </c>
      <c r="E16" s="38">
        <f t="shared" ref="E16:W16" si="7">E14-E11</f>
        <v>332.27520000000004</v>
      </c>
      <c r="F16" s="38">
        <f t="shared" si="7"/>
        <v>639.7256798208</v>
      </c>
      <c r="G16" s="38">
        <f t="shared" si="7"/>
        <v>656.12928242987834</v>
      </c>
      <c r="H16" s="38">
        <f t="shared" si="7"/>
        <v>672.90368870504813</v>
      </c>
      <c r="I16" s="38">
        <f t="shared" si="7"/>
        <v>690.05682066193992</v>
      </c>
      <c r="J16" s="38">
        <f t="shared" si="7"/>
        <v>707.59676474685364</v>
      </c>
      <c r="K16" s="38">
        <f t="shared" si="7"/>
        <v>725.53177519629844</v>
      </c>
      <c r="L16" s="38">
        <f t="shared" si="7"/>
        <v>743.87027746456147</v>
      </c>
      <c r="M16" s="38">
        <f t="shared" si="7"/>
        <v>762.62087172067959</v>
      </c>
      <c r="N16" s="38">
        <f t="shared" si="7"/>
        <v>781.79233641620897</v>
      </c>
      <c r="O16" s="38">
        <f t="shared" si="7"/>
        <v>801.39363192522012</v>
      </c>
      <c r="P16" s="38">
        <f t="shared" si="7"/>
        <v>821.43390425797531</v>
      </c>
      <c r="Q16" s="38">
        <f t="shared" si="7"/>
        <v>841.92248884976527</v>
      </c>
      <c r="R16" s="38">
        <f t="shared" si="7"/>
        <v>862.86891442642968</v>
      </c>
      <c r="S16" s="38">
        <f t="shared" si="7"/>
        <v>884.28290694809516</v>
      </c>
      <c r="T16" s="38">
        <f t="shared" si="7"/>
        <v>906.17439363271467</v>
      </c>
      <c r="U16" s="38">
        <f t="shared" si="7"/>
        <v>928.55350706100694</v>
      </c>
      <c r="V16" s="38">
        <f t="shared" si="7"/>
        <v>951.43058936444379</v>
      </c>
      <c r="W16" s="38">
        <f t="shared" si="7"/>
        <v>974.81619649795016</v>
      </c>
    </row>
    <row r="17" spans="1:23" ht="19" customHeight="1" x14ac:dyDescent="0.35">
      <c r="A17" s="35"/>
      <c r="B17" s="36" t="s">
        <v>45</v>
      </c>
      <c r="C17" s="37" t="s">
        <v>1</v>
      </c>
      <c r="D17" s="38">
        <f>D15-D16</f>
        <v>720</v>
      </c>
      <c r="E17" s="38">
        <f t="shared" ref="E17:W17" si="8">E15-E16</f>
        <v>728.52479999999991</v>
      </c>
      <c r="F17" s="38">
        <f t="shared" si="8"/>
        <v>442.29032017920008</v>
      </c>
      <c r="G17" s="38">
        <f t="shared" si="8"/>
        <v>447.52703757012148</v>
      </c>
      <c r="H17" s="38">
        <f t="shared" si="8"/>
        <v>452.82575769495179</v>
      </c>
      <c r="I17" s="38">
        <f t="shared" si="8"/>
        <v>458.18721466606019</v>
      </c>
      <c r="J17" s="38">
        <f t="shared" si="8"/>
        <v>463.61215128770652</v>
      </c>
      <c r="K17" s="38">
        <f t="shared" si="8"/>
        <v>469.10131915895249</v>
      </c>
      <c r="L17" s="38">
        <f t="shared" si="8"/>
        <v>474.65547877779477</v>
      </c>
      <c r="M17" s="38">
        <f t="shared" si="8"/>
        <v>480.27539964652374</v>
      </c>
      <c r="N17" s="38">
        <f t="shared" si="8"/>
        <v>485.96186037833843</v>
      </c>
      <c r="O17" s="38">
        <f t="shared" si="8"/>
        <v>491.71564880521794</v>
      </c>
      <c r="P17" s="38">
        <f t="shared" si="8"/>
        <v>497.53756208707171</v>
      </c>
      <c r="Q17" s="38">
        <f t="shared" si="8"/>
        <v>503.42840682218264</v>
      </c>
      <c r="R17" s="38">
        <f t="shared" si="8"/>
        <v>509.3889991589574</v>
      </c>
      <c r="S17" s="38">
        <f t="shared" si="8"/>
        <v>515.42016490899914</v>
      </c>
      <c r="T17" s="38">
        <f t="shared" si="8"/>
        <v>521.52273966152177</v>
      </c>
      <c r="U17" s="38">
        <f t="shared" si="8"/>
        <v>527.69756889911446</v>
      </c>
      <c r="V17" s="38">
        <f t="shared" si="8"/>
        <v>533.94550811487977</v>
      </c>
      <c r="W17" s="38">
        <f t="shared" si="8"/>
        <v>540.26742293095981</v>
      </c>
    </row>
    <row r="18" spans="1:23" ht="19" customHeight="1" x14ac:dyDescent="0.35">
      <c r="A18" s="35"/>
      <c r="B18" s="36" t="s">
        <v>50</v>
      </c>
      <c r="C18" s="37" t="s">
        <v>1</v>
      </c>
      <c r="D18" s="39">
        <f>-Invoer!$C$3+D17</f>
        <v>-5780</v>
      </c>
      <c r="E18" s="39">
        <f>E17</f>
        <v>728.52479999999991</v>
      </c>
      <c r="F18" s="39">
        <f t="shared" ref="F18:W18" si="9">F17</f>
        <v>442.29032017920008</v>
      </c>
      <c r="G18" s="39">
        <f t="shared" si="9"/>
        <v>447.52703757012148</v>
      </c>
      <c r="H18" s="39">
        <f t="shared" si="9"/>
        <v>452.82575769495179</v>
      </c>
      <c r="I18" s="39">
        <f t="shared" si="9"/>
        <v>458.18721466606019</v>
      </c>
      <c r="J18" s="39">
        <f t="shared" si="9"/>
        <v>463.61215128770652</v>
      </c>
      <c r="K18" s="39">
        <f t="shared" si="9"/>
        <v>469.10131915895249</v>
      </c>
      <c r="L18" s="39">
        <f t="shared" si="9"/>
        <v>474.65547877779477</v>
      </c>
      <c r="M18" s="39">
        <f t="shared" si="9"/>
        <v>480.27539964652374</v>
      </c>
      <c r="N18" s="39">
        <f t="shared" si="9"/>
        <v>485.96186037833843</v>
      </c>
      <c r="O18" s="39">
        <f t="shared" si="9"/>
        <v>491.71564880521794</v>
      </c>
      <c r="P18" s="39">
        <f t="shared" si="9"/>
        <v>497.53756208707171</v>
      </c>
      <c r="Q18" s="39">
        <f t="shared" si="9"/>
        <v>503.42840682218264</v>
      </c>
      <c r="R18" s="39">
        <f t="shared" si="9"/>
        <v>509.3889991589574</v>
      </c>
      <c r="S18" s="39">
        <f t="shared" si="9"/>
        <v>515.42016490899914</v>
      </c>
      <c r="T18" s="39">
        <f t="shared" si="9"/>
        <v>521.52273966152177</v>
      </c>
      <c r="U18" s="39">
        <f t="shared" si="9"/>
        <v>527.69756889911446</v>
      </c>
      <c r="V18" s="39">
        <f t="shared" si="9"/>
        <v>533.94550811487977</v>
      </c>
      <c r="W18" s="39">
        <f t="shared" si="9"/>
        <v>540.26742293095981</v>
      </c>
    </row>
    <row r="19" spans="1:23" ht="19" customHeight="1" x14ac:dyDescent="0.35">
      <c r="B19" s="18" t="s">
        <v>4</v>
      </c>
      <c r="D19" s="5">
        <f>IRR(D18:W18)</f>
        <v>5.5960553572928617E-2</v>
      </c>
      <c r="E19" s="7"/>
      <c r="F19" s="7"/>
      <c r="G19" s="7"/>
      <c r="H19" s="7"/>
      <c r="I19" s="7"/>
      <c r="J19" s="7"/>
      <c r="K19" s="7"/>
      <c r="L19" s="7"/>
      <c r="M19" s="7"/>
      <c r="N19" s="7"/>
      <c r="O19" s="7"/>
      <c r="P19" s="7"/>
      <c r="Q19" s="7"/>
      <c r="R19" s="7"/>
      <c r="S19" s="7"/>
      <c r="T19" s="7"/>
      <c r="U19" s="7"/>
      <c r="V19" s="7"/>
      <c r="W19" s="7"/>
    </row>
  </sheetData>
  <sheetProtection sheet="1" objects="1" scenarios="1" selectLockedCells="1" selectUnlockedCells="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10AC877333DF4CB2F96813EEC03449" ma:contentTypeVersion="10" ma:contentTypeDescription="Een nieuw document maken." ma:contentTypeScope="" ma:versionID="2508f2766ae03ae85dd6d5be7331478d">
  <xsd:schema xmlns:xsd="http://www.w3.org/2001/XMLSchema" xmlns:xs="http://www.w3.org/2001/XMLSchema" xmlns:p="http://schemas.microsoft.com/office/2006/metadata/properties" xmlns:ns3="69aad536-617d-40c3-8c78-a10bb4a2e5e0" targetNamespace="http://schemas.microsoft.com/office/2006/metadata/properties" ma:root="true" ma:fieldsID="b782d5ce3cc80e5a04efd2d8f96aad9f" ns3:_="">
    <xsd:import namespace="69aad536-617d-40c3-8c78-a10bb4a2e5e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ad536-617d-40c3-8c78-a10bb4a2e5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ystemTags" ma:index="11" nillable="true" ma:displayName="MediaServiceSystemTags" ma:hidden="true" ma:internalName="MediaServiceSystemTags"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404EDA-325B-414B-9A56-ABC8B455E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ad536-617d-40c3-8c78-a10bb4a2e5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1C94F0-13D6-4D2F-98DA-977C45E41FFC}">
  <ds:schemaRef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 ds:uri="69aad536-617d-40c3-8c78-a10bb4a2e5e0"/>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AD3C4A2D-6192-454A-A0EA-78CAE1296A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Invoer</vt:lpstr>
      <vt:lpstr>Resultaat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Benthem</dc:creator>
  <cp:lastModifiedBy>Frank Benthem</cp:lastModifiedBy>
  <dcterms:created xsi:type="dcterms:W3CDTF">2019-11-17T14:07:57Z</dcterms:created>
  <dcterms:modified xsi:type="dcterms:W3CDTF">2024-12-11T09:51:52Z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0x0101001A10AC877333DF4CB2F96813EEC03449</vt:lpwstr>
  </property>
</Properties>
</file>